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R OJ\Documents\Disbursements 2021 - Copy\"/>
    </mc:Choice>
  </mc:AlternateContent>
  <xr:revisionPtr revIDLastSave="0" documentId="13_ncr:1_{7B0744E3-D44C-4E98-84ED-F2011F5BD424}" xr6:coauthVersionLast="47" xr6:coauthVersionMax="47" xr10:uidLastSave="{00000000-0000-0000-0000-000000000000}"/>
  <bookViews>
    <workbookView xWindow="60" yWindow="600" windowWidth="20430" windowHeight="10920" firstSheet="1" activeTab="4" xr2:uid="{00000000-000D-0000-FFFF-FFFF00000000}"/>
  </bookViews>
  <sheets>
    <sheet name="MONTHENTRY" sheetId="8" state="hidden" r:id="rId1"/>
    <sheet name="Sum &amp; FG" sheetId="4" r:id="rId2"/>
    <sheet name="SG Details" sheetId="1" r:id="rId3"/>
    <sheet name="Ecology to States August 2021" sheetId="11" r:id="rId4"/>
    <sheet name="sumLgcs" sheetId="12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Details'!$A$1:$R$49</definedName>
    <definedName name="_xlnm.Print_Area" localSheetId="4">sumLgcs!$A$2:$J$46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2" l="1"/>
  <c r="I39" i="12"/>
  <c r="I31" i="12"/>
  <c r="I23" i="12"/>
  <c r="I19" i="12"/>
  <c r="I15" i="12"/>
  <c r="I11" i="12"/>
  <c r="H45" i="12"/>
  <c r="G45" i="12"/>
  <c r="F45" i="12"/>
  <c r="E7" i="12"/>
  <c r="I7" i="12" s="1"/>
  <c r="E8" i="12"/>
  <c r="I8" i="12" s="1"/>
  <c r="E9" i="12"/>
  <c r="E45" i="12" s="1"/>
  <c r="E10" i="12"/>
  <c r="I10" i="12" s="1"/>
  <c r="E11" i="12"/>
  <c r="E12" i="12"/>
  <c r="I12" i="12" s="1"/>
  <c r="E13" i="12"/>
  <c r="I13" i="12" s="1"/>
  <c r="E14" i="12"/>
  <c r="I14" i="12" s="1"/>
  <c r="E15" i="12"/>
  <c r="E16" i="12"/>
  <c r="I16" i="12" s="1"/>
  <c r="E17" i="12"/>
  <c r="I17" i="12" s="1"/>
  <c r="E18" i="12"/>
  <c r="I18" i="12" s="1"/>
  <c r="E19" i="12"/>
  <c r="E20" i="12"/>
  <c r="I20" i="12" s="1"/>
  <c r="E21" i="12"/>
  <c r="I21" i="12" s="1"/>
  <c r="E22" i="12"/>
  <c r="I22" i="12" s="1"/>
  <c r="E23" i="12"/>
  <c r="E24" i="12"/>
  <c r="I24" i="12" s="1"/>
  <c r="E25" i="12"/>
  <c r="I25" i="12" s="1"/>
  <c r="E26" i="12"/>
  <c r="I26" i="12" s="1"/>
  <c r="E27" i="12"/>
  <c r="I27" i="12" s="1"/>
  <c r="E28" i="12"/>
  <c r="I28" i="12" s="1"/>
  <c r="E29" i="12"/>
  <c r="I29" i="12" s="1"/>
  <c r="E30" i="12"/>
  <c r="I30" i="12" s="1"/>
  <c r="E31" i="12"/>
  <c r="E32" i="12"/>
  <c r="I32" i="12" s="1"/>
  <c r="E33" i="12"/>
  <c r="I33" i="12" s="1"/>
  <c r="E34" i="12"/>
  <c r="I34" i="12" s="1"/>
  <c r="E35" i="12"/>
  <c r="I35" i="12" s="1"/>
  <c r="E36" i="12"/>
  <c r="I36" i="12" s="1"/>
  <c r="E37" i="12"/>
  <c r="I37" i="12" s="1"/>
  <c r="E38" i="12"/>
  <c r="I38" i="12" s="1"/>
  <c r="E39" i="12"/>
  <c r="E40" i="12"/>
  <c r="I40" i="12" s="1"/>
  <c r="E41" i="12"/>
  <c r="I41" i="12" s="1"/>
  <c r="E42" i="12"/>
  <c r="I42" i="12" s="1"/>
  <c r="E43" i="12"/>
  <c r="I43" i="12" s="1"/>
  <c r="D45" i="12"/>
  <c r="Q46" i="1"/>
  <c r="P46" i="1"/>
  <c r="N47" i="1"/>
  <c r="M47" i="1"/>
  <c r="L47" i="1"/>
  <c r="K47" i="1"/>
  <c r="I47" i="1"/>
  <c r="H47" i="1"/>
  <c r="G47" i="1"/>
  <c r="E47" i="1"/>
  <c r="D47" i="1"/>
  <c r="E13" i="11"/>
  <c r="D13" i="11"/>
  <c r="D27" i="11"/>
  <c r="E27" i="11"/>
  <c r="E28" i="11"/>
  <c r="D28" i="11"/>
  <c r="E29" i="11"/>
  <c r="D29" i="11"/>
  <c r="E32" i="11"/>
  <c r="D32" i="11"/>
  <c r="E37" i="11"/>
  <c r="E43" i="11" s="1"/>
  <c r="E44" i="11" s="1"/>
  <c r="D37" i="11"/>
  <c r="F33" i="1"/>
  <c r="E20" i="4"/>
  <c r="D20" i="4"/>
  <c r="C20" i="4"/>
  <c r="F18" i="4"/>
  <c r="O45" i="1"/>
  <c r="O44" i="1"/>
  <c r="O43" i="1"/>
  <c r="Q43" i="1" s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Q19" i="1" s="1"/>
  <c r="O18" i="1"/>
  <c r="O17" i="1"/>
  <c r="O16" i="1"/>
  <c r="O15" i="1"/>
  <c r="O14" i="1"/>
  <c r="O13" i="1"/>
  <c r="O12" i="1"/>
  <c r="O11" i="1"/>
  <c r="O47" i="1" s="1"/>
  <c r="O10" i="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45" i="1"/>
  <c r="F44" i="1"/>
  <c r="F43" i="1"/>
  <c r="F42" i="1"/>
  <c r="F41" i="1"/>
  <c r="F40" i="1"/>
  <c r="F39" i="1"/>
  <c r="F38" i="1"/>
  <c r="J38" i="1" s="1"/>
  <c r="Q38" i="1" s="1"/>
  <c r="F37" i="1"/>
  <c r="F36" i="1"/>
  <c r="F35" i="1"/>
  <c r="J35" i="1" s="1"/>
  <c r="Q35" i="1" s="1"/>
  <c r="F34" i="1"/>
  <c r="J34" i="1" s="1"/>
  <c r="Q34" i="1" s="1"/>
  <c r="F32" i="1"/>
  <c r="F31" i="1"/>
  <c r="F30" i="1"/>
  <c r="F29" i="1"/>
  <c r="J29" i="1" s="1"/>
  <c r="Q29" i="1" s="1"/>
  <c r="F28" i="1"/>
  <c r="F27" i="1"/>
  <c r="F26" i="1"/>
  <c r="F25" i="1"/>
  <c r="J25" i="1" s="1"/>
  <c r="Q25" i="1" s="1"/>
  <c r="F24" i="1"/>
  <c r="F23" i="1"/>
  <c r="F22" i="1"/>
  <c r="F21" i="1"/>
  <c r="J21" i="1" s="1"/>
  <c r="Q21" i="1" s="1"/>
  <c r="F20" i="1"/>
  <c r="F19" i="1"/>
  <c r="F18" i="1"/>
  <c r="F17" i="1"/>
  <c r="F16" i="1"/>
  <c r="F15" i="1"/>
  <c r="F14" i="1"/>
  <c r="F13" i="1"/>
  <c r="J13" i="1" s="1"/>
  <c r="Q13" i="1" s="1"/>
  <c r="F12" i="1"/>
  <c r="F11" i="1"/>
  <c r="F10" i="1"/>
  <c r="P10" i="1" s="1"/>
  <c r="P25" i="1"/>
  <c r="P34" i="1"/>
  <c r="J27" i="1"/>
  <c r="Q27" i="1" s="1"/>
  <c r="P27" i="1"/>
  <c r="J43" i="1"/>
  <c r="P43" i="1"/>
  <c r="J41" i="1"/>
  <c r="Q41" i="1"/>
  <c r="P41" i="1"/>
  <c r="J26" i="1"/>
  <c r="Q26" i="1" s="1"/>
  <c r="P26" i="1"/>
  <c r="J28" i="1"/>
  <c r="Q28" i="1" s="1"/>
  <c r="P28" i="1"/>
  <c r="J18" i="1"/>
  <c r="Q18" i="1" s="1"/>
  <c r="P18" i="1"/>
  <c r="J19" i="1"/>
  <c r="P19" i="1"/>
  <c r="J36" i="1"/>
  <c r="Q36" i="1" s="1"/>
  <c r="P36" i="1"/>
  <c r="J37" i="1"/>
  <c r="Q37" i="1" s="1"/>
  <c r="P37" i="1"/>
  <c r="J45" i="1"/>
  <c r="Q45" i="1" s="1"/>
  <c r="P45" i="1"/>
  <c r="J33" i="1"/>
  <c r="Q33" i="1" s="1"/>
  <c r="P33" i="1"/>
  <c r="J11" i="1"/>
  <c r="P11" i="1"/>
  <c r="J12" i="1"/>
  <c r="Q12" i="1"/>
  <c r="P12" i="1"/>
  <c r="J14" i="1"/>
  <c r="Q14" i="1" s="1"/>
  <c r="P14" i="1"/>
  <c r="J17" i="1"/>
  <c r="Q17" i="1" s="1"/>
  <c r="P17" i="1"/>
  <c r="J42" i="1"/>
  <c r="Q42" i="1"/>
  <c r="P42" i="1"/>
  <c r="J20" i="1"/>
  <c r="Q20" i="1" s="1"/>
  <c r="P20" i="1"/>
  <c r="J30" i="1"/>
  <c r="Q30" i="1"/>
  <c r="P30" i="1"/>
  <c r="J23" i="1"/>
  <c r="Q23" i="1"/>
  <c r="P23" i="1"/>
  <c r="J39" i="1"/>
  <c r="Q39" i="1"/>
  <c r="P39" i="1"/>
  <c r="J44" i="1"/>
  <c r="Q44" i="1" s="1"/>
  <c r="P44" i="1"/>
  <c r="J22" i="1"/>
  <c r="Q22" i="1" s="1"/>
  <c r="P22" i="1"/>
  <c r="J15" i="1"/>
  <c r="Q15" i="1" s="1"/>
  <c r="P15" i="1"/>
  <c r="J31" i="1"/>
  <c r="Q31" i="1"/>
  <c r="P31" i="1"/>
  <c r="J16" i="1"/>
  <c r="Q16" i="1" s="1"/>
  <c r="P16" i="1"/>
  <c r="J24" i="1"/>
  <c r="Q24" i="1"/>
  <c r="P24" i="1"/>
  <c r="J32" i="1"/>
  <c r="Q32" i="1"/>
  <c r="P32" i="1"/>
  <c r="J40" i="1"/>
  <c r="Q40" i="1"/>
  <c r="P40" i="1"/>
  <c r="F31" i="4"/>
  <c r="E30" i="4"/>
  <c r="H30" i="4"/>
  <c r="C31" i="4"/>
  <c r="F19" i="4"/>
  <c r="F17" i="4"/>
  <c r="F16" i="4"/>
  <c r="F15" i="4"/>
  <c r="F14" i="4"/>
  <c r="F13" i="4"/>
  <c r="F12" i="4"/>
  <c r="F11" i="4"/>
  <c r="F10" i="4"/>
  <c r="F9" i="4"/>
  <c r="F8" i="4"/>
  <c r="F7" i="4"/>
  <c r="F20" i="4" s="1"/>
  <c r="G31" i="4"/>
  <c r="D31" i="4"/>
  <c r="E29" i="4"/>
  <c r="H29" i="4" s="1"/>
  <c r="E28" i="4"/>
  <c r="H28" i="4"/>
  <c r="E27" i="4"/>
  <c r="H27" i="4"/>
  <c r="E26" i="4"/>
  <c r="H26" i="4"/>
  <c r="H31" i="4" s="1"/>
  <c r="E31" i="4"/>
  <c r="F5" i="8"/>
  <c r="F16" i="8" s="1"/>
  <c r="B1" i="8"/>
  <c r="C1" i="8"/>
  <c r="F13" i="8"/>
  <c r="G5" i="8"/>
  <c r="C5" i="8" s="1"/>
  <c r="B6" i="8" s="1"/>
  <c r="F12" i="8"/>
  <c r="F11" i="8"/>
  <c r="F14" i="8"/>
  <c r="F18" i="8"/>
  <c r="F9" i="8"/>
  <c r="F10" i="8"/>
  <c r="F8" i="8"/>
  <c r="B5" i="8"/>
  <c r="B17" i="8" s="1"/>
  <c r="B10" i="8"/>
  <c r="B18" i="8"/>
  <c r="B12" i="8"/>
  <c r="B13" i="8"/>
  <c r="B15" i="8"/>
  <c r="B14" i="8"/>
  <c r="B11" i="8"/>
  <c r="B9" i="8"/>
  <c r="F6" i="8"/>
  <c r="D44" i="11" l="1"/>
  <c r="J10" i="1"/>
  <c r="P13" i="1"/>
  <c r="P35" i="1"/>
  <c r="F29" i="11"/>
  <c r="F44" i="11" s="1"/>
  <c r="D43" i="11"/>
  <c r="F43" i="11" s="1"/>
  <c r="B19" i="8"/>
  <c r="P29" i="1"/>
  <c r="I9" i="12"/>
  <c r="I45" i="12" s="1"/>
  <c r="B16" i="8"/>
  <c r="B8" i="8"/>
  <c r="F15" i="8"/>
  <c r="F17" i="8"/>
  <c r="P38" i="1"/>
  <c r="F47" i="1"/>
  <c r="P21" i="1"/>
  <c r="P47" i="1" s="1"/>
  <c r="Q11" i="1"/>
  <c r="F19" i="8"/>
  <c r="Q52" i="12" l="1"/>
  <c r="Q10" i="1"/>
  <c r="Q47" i="1" s="1"/>
  <c r="J47" i="1"/>
</calcChain>
</file>

<file path=xl/sharedStrings.xml><?xml version="1.0" encoding="utf-8"?>
<sst xmlns="http://schemas.openxmlformats.org/spreadsheetml/2006/main" count="268" uniqueCount="134">
  <si>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</si>
  <si>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</si>
  <si>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</si>
  <si>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</si>
  <si>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</si>
  <si>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</si>
  <si>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</si>
  <si>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Gross Statutory Allocation</t>
  </si>
  <si>
    <t>6=4+5</t>
  </si>
  <si>
    <t>10=6-(7+8+9)</t>
  </si>
  <si>
    <t>Value Added Tax</t>
  </si>
  <si>
    <t>Contractual Obligation (ISPO)</t>
  </si>
  <si>
    <t>Net Statutory Allocation</t>
  </si>
  <si>
    <t>Total Net Amount</t>
  </si>
  <si>
    <t>Statutory</t>
  </si>
  <si>
    <t>Total</t>
  </si>
  <si>
    <t>13% Derivation Fund</t>
  </si>
  <si>
    <t>FGN (CRF Account)</t>
  </si>
  <si>
    <t>Share of Derivation &amp; Ecology</t>
  </si>
  <si>
    <t>Beneficiaries</t>
  </si>
  <si>
    <t>Table I</t>
  </si>
  <si>
    <t>FGN (see Table II)</t>
  </si>
  <si>
    <t>Table III</t>
  </si>
  <si>
    <t>Deductions</t>
  </si>
  <si>
    <t>VAT</t>
  </si>
  <si>
    <t>Total Gross Amount</t>
  </si>
  <si>
    <t>State (see Table III)</t>
  </si>
  <si>
    <t>LGCs (see Table IV)</t>
  </si>
  <si>
    <t>……………………………………………………………</t>
  </si>
  <si>
    <r>
      <t xml:space="preserve">Source: </t>
    </r>
    <r>
      <rPr>
        <b/>
        <sz val="16"/>
        <rFont val="Arial"/>
        <family val="2"/>
      </rPr>
      <t>Office of the Accountant-General of the Federation</t>
    </r>
  </si>
  <si>
    <t>Abuja. Nigeria.</t>
  </si>
  <si>
    <t>13% Share of Derivation (Net)</t>
  </si>
  <si>
    <t>Exchange Gain Difference</t>
  </si>
  <si>
    <t>Cost of Collection - NCS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</si>
  <si>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</si>
  <si>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</si>
  <si>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</si>
  <si>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</si>
  <si>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</si>
  <si>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</si>
  <si>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</si>
  <si>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</si>
  <si>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</si>
  <si>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</si>
  <si>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</si>
  <si>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</si>
  <si>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</si>
  <si>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</si>
  <si>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</si>
  <si>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</si>
  <si>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</si>
  <si>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</si>
  <si>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</si>
  <si>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</si>
  <si>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</si>
  <si>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</si>
  <si>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</si>
  <si>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</si>
  <si>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</si>
  <si>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</si>
  <si>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</si>
  <si>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</si>
  <si>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</si>
  <si>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</si>
  <si>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</si>
  <si>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</si>
  <si>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</si>
  <si>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</si>
  <si>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</si>
  <si>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</si>
  <si>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Gross VAT Allocation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</si>
  <si>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</si>
  <si>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</si>
  <si>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</si>
  <si>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</si>
  <si>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</si>
  <si>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</si>
  <si>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</si>
  <si>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</si>
  <si>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</si>
  <si>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</si>
  <si>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</si>
  <si>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</si>
  <si>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</si>
  <si>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</si>
  <si>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</si>
  <si>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</si>
  <si>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</si>
  <si>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</si>
  <si>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Office of the Accountant General of the Federation</t>
  </si>
  <si>
    <t xml:space="preserve">  Federal Ministry of Finance, Budget &amp; National Planning, Abuja</t>
  </si>
  <si>
    <t>₦</t>
  </si>
  <si>
    <t xml:space="preserve"> Cost of Collections - FIRS</t>
  </si>
  <si>
    <t xml:space="preserve"> Cost of Collections - DPR</t>
  </si>
  <si>
    <t>FIRS Refund on Cost of Collection</t>
  </si>
  <si>
    <t>Police Trust Fund</t>
  </si>
  <si>
    <t>13% Derivation Refund to Oil Producing States</t>
  </si>
  <si>
    <t>North East Development Commission</t>
  </si>
  <si>
    <t>TOTAL</t>
  </si>
  <si>
    <t>4=2-3</t>
  </si>
  <si>
    <t>Less Deduction</t>
  </si>
  <si>
    <r>
      <t xml:space="preserve">Source: </t>
    </r>
    <r>
      <rPr>
        <b/>
        <sz val="16"/>
        <rFont val="Times New Roman"/>
        <family val="1"/>
      </rPr>
      <t>Office of the Accountant-General of the Federation</t>
    </r>
  </si>
  <si>
    <r>
      <t xml:space="preserve">The above information is also available on the Federal Ministry of Finance website </t>
    </r>
    <r>
      <rPr>
        <b/>
        <u/>
        <sz val="16"/>
        <rFont val="Times New Roman"/>
        <family val="1"/>
      </rPr>
      <t>www.fmf.gov.ng</t>
    </r>
    <r>
      <rPr>
        <b/>
        <sz val="16"/>
        <rFont val="Times New Roman"/>
        <family val="1"/>
      </rPr>
      <t xml:space="preserve"> and Office of Accountant-General of the Federation website </t>
    </r>
    <r>
      <rPr>
        <b/>
        <u/>
        <sz val="16"/>
        <rFont val="Times New Roman"/>
        <family val="1"/>
      </rPr>
      <t>www.oagf.gov.ng</t>
    </r>
    <r>
      <rPr>
        <b/>
        <sz val="16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family val="1"/>
      </rPr>
      <t>www.budgetoffice.gov.ng</t>
    </r>
    <r>
      <rPr>
        <b/>
        <sz val="16"/>
        <rFont val="Times New Roman"/>
        <family val="1"/>
      </rPr>
      <t xml:space="preserve"> also contains information about the Budget.</t>
    </r>
  </si>
  <si>
    <t>Summary of Gross Revenue Allocation by Federation Account Allocation Committee for the Month of July, 2021 Shared in August, 2021</t>
  </si>
  <si>
    <t>Distribution of Revenue Allocation to FGN by Federation Account Allocation Committee for the Month of July, 2021 Shared in August, 2021</t>
  </si>
  <si>
    <t xml:space="preserve"> Federal Ministry of Finance, Budget &amp; National Planning, Abuja</t>
  </si>
  <si>
    <t>Distribution of Exchange Gain</t>
  </si>
  <si>
    <t>Distribution of Revenue Allocation to State Governments by Federation Account Allocation Committee for the month of July, 2021 Shared in August, 2021</t>
  </si>
  <si>
    <t>Ecology Funds</t>
  </si>
  <si>
    <t>Office of the Accountant-General of the Federation</t>
  </si>
  <si>
    <t>Federal Ministry of Finance, Budget &amp; National Planning, Abuja.</t>
  </si>
  <si>
    <t>5(3+4)</t>
  </si>
  <si>
    <t>(Ecology)Gross Statutory Allocation</t>
  </si>
  <si>
    <t>(Ecology)Exchange Gain Difference</t>
  </si>
  <si>
    <t>Total States</t>
  </si>
  <si>
    <t>SOURCE:Office of the Accountant-General of the Federation.</t>
  </si>
  <si>
    <t>Details of Distribution of Ecology Revenue Allocation to States by Federation Account Allocation Committee for the month of July, 2021 Shared in August, 2021</t>
  </si>
  <si>
    <t>Federal Ministry of Finance, Abuja.</t>
  </si>
  <si>
    <t>Deduction</t>
  </si>
  <si>
    <t>Exchange Gain</t>
  </si>
  <si>
    <t>FCT, ABUJA</t>
  </si>
  <si>
    <t>Total LGCs</t>
  </si>
  <si>
    <t>Summary of Distribution of Revenue Allocation to Local Government Councils by Federation Account Allocation Committee for the month of July, 2021 Shared in August, 2021</t>
  </si>
  <si>
    <t>Net VAT Allocation</t>
  </si>
  <si>
    <t xml:space="preserve">DPR Refund </t>
  </si>
  <si>
    <t>Lagos State 13% Derivation</t>
  </si>
  <si>
    <t>HYPPADEC</t>
  </si>
  <si>
    <t>Total (States)</t>
  </si>
  <si>
    <t>16=6+11+12+13</t>
  </si>
  <si>
    <t>17=10+11+12+15</t>
  </si>
  <si>
    <t>Dr. (Mrs). Zainab S. Ahmed</t>
  </si>
  <si>
    <t>Hon. Minister of  Finance, Budget and National Planning.</t>
  </si>
  <si>
    <t>Total Ecology</t>
  </si>
  <si>
    <t>8(3 + 4+ 5+ 6+ 7)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</si>
</sst>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 &quot;#,##0.00;\-&quot; &quot;#,##0.00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u/>
      <sz val="16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2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i/>
      <sz val="18"/>
      <name val="Arial"/>
      <family val="2"/>
    </font>
    <font>
      <b/>
      <i/>
      <sz val="16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Arial"/>
      <family val="2"/>
    </font>
    <font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2" fillId="0" borderId="0"/>
  </cellStyleXfs>
  <cellXfs count="12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0" fillId="0" borderId="1" xfId="1" applyFont="1" applyBorder="1"/>
    <xf numFmtId="164" fontId="0" fillId="0" borderId="1" xfId="0" applyNumberFormat="1" applyBorder="1"/>
    <xf numFmtId="40" fontId="0" fillId="0" borderId="1" xfId="0" applyNumberFormat="1" applyBorder="1"/>
    <xf numFmtId="164" fontId="2" fillId="0" borderId="1" xfId="0" applyNumberFormat="1" applyFont="1" applyBorder="1"/>
    <xf numFmtId="164" fontId="0" fillId="0" borderId="2" xfId="1" applyFont="1" applyBorder="1"/>
    <xf numFmtId="164" fontId="2" fillId="0" borderId="4" xfId="1" applyFont="1" applyBorder="1"/>
    <xf numFmtId="164" fontId="2" fillId="0" borderId="2" xfId="0" applyNumberFormat="1" applyFont="1" applyBorder="1"/>
    <xf numFmtId="0" fontId="0" fillId="0" borderId="0" xfId="0" applyBorder="1"/>
    <xf numFmtId="0" fontId="9" fillId="0" borderId="0" xfId="0" applyFont="1"/>
    <xf numFmtId="0" fontId="0" fillId="0" borderId="1" xfId="0" applyBorder="1" applyAlignment="1">
      <alignment horizontal="center"/>
    </xf>
    <xf numFmtId="0" fontId="10" fillId="0" borderId="0" xfId="0" applyFont="1" applyFill="1" applyBorder="1"/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43" fontId="0" fillId="0" borderId="0" xfId="0" applyNumberFormat="1"/>
    <xf numFmtId="164" fontId="0" fillId="0" borderId="0" xfId="1" applyFont="1"/>
    <xf numFmtId="0" fontId="0" fillId="2" borderId="0" xfId="0" applyFill="1" applyProtection="1">
      <protection locked="0"/>
    </xf>
    <xf numFmtId="17" fontId="0" fillId="0" borderId="0" xfId="0" applyNumberFormat="1"/>
    <xf numFmtId="17" fontId="6" fillId="2" borderId="0" xfId="0" applyNumberFormat="1" applyFont="1" applyFill="1" applyAlignment="1"/>
    <xf numFmtId="2" fontId="0" fillId="0" borderId="0" xfId="0" applyNumberFormat="1"/>
    <xf numFmtId="0" fontId="2" fillId="0" borderId="1" xfId="0" applyFont="1" applyBorder="1" applyAlignment="1">
      <alignment horizontal="center"/>
    </xf>
    <xf numFmtId="0" fontId="14" fillId="0" borderId="0" xfId="0" applyFont="1"/>
    <xf numFmtId="0" fontId="13" fillId="0" borderId="0" xfId="0" applyFont="1" applyAlignment="1"/>
    <xf numFmtId="0" fontId="14" fillId="0" borderId="0" xfId="0" applyFont="1" applyAlignment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/>
    </xf>
    <xf numFmtId="0" fontId="13" fillId="0" borderId="1" xfId="0" quotePrefix="1" applyFont="1" applyBorder="1" applyAlignment="1">
      <alignment horizontal="center"/>
    </xf>
    <xf numFmtId="0" fontId="14" fillId="0" borderId="1" xfId="0" applyFont="1" applyBorder="1"/>
    <xf numFmtId="164" fontId="13" fillId="0" borderId="1" xfId="1" applyFont="1" applyBorder="1" applyAlignment="1"/>
    <xf numFmtId="164" fontId="13" fillId="0" borderId="5" xfId="1" applyFont="1" applyBorder="1" applyAlignment="1"/>
    <xf numFmtId="164" fontId="13" fillId="3" borderId="1" xfId="1" applyFont="1" applyFill="1" applyBorder="1" applyAlignment="1"/>
    <xf numFmtId="164" fontId="13" fillId="0" borderId="1" xfId="1" applyFont="1" applyBorder="1" applyAlignment="1">
      <alignment horizontal="center"/>
    </xf>
    <xf numFmtId="164" fontId="13" fillId="3" borderId="5" xfId="1" applyFont="1" applyFill="1" applyBorder="1" applyAlignment="1"/>
    <xf numFmtId="0" fontId="14" fillId="0" borderId="1" xfId="0" applyFont="1" applyBorder="1" applyAlignment="1">
      <alignment wrapText="1"/>
    </xf>
    <xf numFmtId="0" fontId="13" fillId="0" borderId="5" xfId="0" applyFont="1" applyBorder="1" applyAlignment="1">
      <alignment horizontal="center"/>
    </xf>
    <xf numFmtId="0" fontId="13" fillId="0" borderId="8" xfId="0" applyFont="1" applyFill="1" applyBorder="1" applyAlignment="1">
      <alignment horizontal="center" wrapText="1"/>
    </xf>
    <xf numFmtId="0" fontId="14" fillId="0" borderId="1" xfId="0" applyFont="1" applyBorder="1" applyAlignment="1"/>
    <xf numFmtId="164" fontId="14" fillId="0" borderId="6" xfId="1" applyFont="1" applyBorder="1"/>
    <xf numFmtId="164" fontId="14" fillId="0" borderId="5" xfId="1" applyFont="1" applyBorder="1"/>
    <xf numFmtId="164" fontId="14" fillId="0" borderId="1" xfId="1" applyFont="1" applyBorder="1"/>
    <xf numFmtId="164" fontId="13" fillId="0" borderId="7" xfId="1" applyFont="1" applyBorder="1"/>
    <xf numFmtId="164" fontId="14" fillId="0" borderId="0" xfId="0" applyNumberFormat="1" applyFont="1"/>
    <xf numFmtId="0" fontId="14" fillId="3" borderId="0" xfId="0" applyFont="1" applyFill="1"/>
    <xf numFmtId="43" fontId="14" fillId="0" borderId="0" xfId="0" applyNumberFormat="1" applyFont="1"/>
    <xf numFmtId="0" fontId="14" fillId="0" borderId="0" xfId="0" applyFont="1" applyFill="1" applyBorder="1"/>
    <xf numFmtId="0" fontId="13" fillId="0" borderId="0" xfId="0" applyFont="1"/>
    <xf numFmtId="0" fontId="13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164" fontId="13" fillId="0" borderId="0" xfId="1" applyFont="1" applyBorder="1" applyAlignment="1"/>
    <xf numFmtId="164" fontId="13" fillId="0" borderId="0" xfId="1" applyFont="1" applyBorder="1" applyAlignment="1">
      <alignment horizontal="center"/>
    </xf>
    <xf numFmtId="0" fontId="13" fillId="0" borderId="1" xfId="0" applyFont="1" applyBorder="1" applyAlignment="1"/>
    <xf numFmtId="0" fontId="18" fillId="0" borderId="1" xfId="0" quotePrefix="1" applyFont="1" applyBorder="1" applyAlignment="1">
      <alignment horizontal="center"/>
    </xf>
    <xf numFmtId="165" fontId="22" fillId="0" borderId="1" xfId="1" applyNumberFormat="1" applyFont="1" applyBorder="1" applyAlignment="1">
      <alignment horizontal="left"/>
    </xf>
    <xf numFmtId="165" fontId="22" fillId="0" borderId="1" xfId="1" applyNumberFormat="1" applyFont="1" applyBorder="1" applyAlignment="1">
      <alignment horizontal="left" vertical="top"/>
    </xf>
    <xf numFmtId="164" fontId="22" fillId="0" borderId="1" xfId="1" applyFont="1" applyBorder="1" applyAlignment="1">
      <alignment horizontal="center" vertical="top"/>
    </xf>
    <xf numFmtId="164" fontId="22" fillId="0" borderId="1" xfId="1" applyFont="1" applyBorder="1" applyAlignment="1">
      <alignment horizontal="center"/>
    </xf>
    <xf numFmtId="164" fontId="23" fillId="0" borderId="1" xfId="1" applyFont="1" applyBorder="1"/>
    <xf numFmtId="164" fontId="23" fillId="0" borderId="1" xfId="1" applyFont="1" applyBorder="1" applyAlignment="1">
      <alignment wrapText="1"/>
    </xf>
    <xf numFmtId="164" fontId="23" fillId="0" borderId="1" xfId="1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164" fontId="24" fillId="0" borderId="1" xfId="1" applyFont="1" applyBorder="1"/>
    <xf numFmtId="0" fontId="18" fillId="0" borderId="5" xfId="0" quotePrefix="1" applyFont="1" applyBorder="1" applyAlignment="1">
      <alignment horizontal="center"/>
    </xf>
    <xf numFmtId="165" fontId="24" fillId="0" borderId="1" xfId="1" applyNumberFormat="1" applyFont="1" applyBorder="1" applyAlignment="1">
      <alignment horizontal="left"/>
    </xf>
    <xf numFmtId="165" fontId="24" fillId="0" borderId="1" xfId="1" applyNumberFormat="1" applyFont="1" applyBorder="1"/>
    <xf numFmtId="164" fontId="22" fillId="0" borderId="1" xfId="1" applyFont="1" applyBorder="1"/>
    <xf numFmtId="164" fontId="19" fillId="0" borderId="1" xfId="1" applyFont="1" applyBorder="1"/>
    <xf numFmtId="164" fontId="22" fillId="0" borderId="1" xfId="1" applyFont="1" applyBorder="1" applyAlignment="1">
      <alignment horizontal="left" vertical="top" wrapText="1"/>
    </xf>
    <xf numFmtId="164" fontId="23" fillId="0" borderId="1" xfId="1" applyFont="1" applyBorder="1" applyAlignment="1">
      <alignment horizontal="center"/>
    </xf>
    <xf numFmtId="0" fontId="27" fillId="4" borderId="12" xfId="3" applyFont="1" applyFill="1" applyBorder="1" applyAlignment="1">
      <alignment horizontal="center" wrapText="1"/>
    </xf>
    <xf numFmtId="164" fontId="18" fillId="0" borderId="1" xfId="1" applyFont="1" applyBorder="1"/>
    <xf numFmtId="7" fontId="28" fillId="0" borderId="1" xfId="2" applyNumberFormat="1" applyFont="1" applyFill="1" applyBorder="1" applyAlignment="1">
      <alignment horizontal="right" wrapText="1"/>
    </xf>
    <xf numFmtId="164" fontId="0" fillId="0" borderId="0" xfId="0" applyNumberFormat="1"/>
    <xf numFmtId="0" fontId="0" fillId="0" borderId="2" xfId="0" applyBorder="1" applyAlignment="1">
      <alignment horizontal="center"/>
    </xf>
    <xf numFmtId="164" fontId="0" fillId="0" borderId="8" xfId="1" applyFont="1" applyBorder="1"/>
    <xf numFmtId="164" fontId="0" fillId="0" borderId="8" xfId="0" applyNumberFormat="1" applyBorder="1"/>
    <xf numFmtId="40" fontId="0" fillId="0" borderId="8" xfId="0" applyNumberFormat="1" applyBorder="1"/>
    <xf numFmtId="164" fontId="2" fillId="0" borderId="8" xfId="0" applyNumberFormat="1" applyFont="1" applyBorder="1"/>
    <xf numFmtId="164" fontId="2" fillId="0" borderId="13" xfId="0" applyNumberFormat="1" applyFont="1" applyBorder="1"/>
    <xf numFmtId="164" fontId="0" fillId="0" borderId="0" xfId="1" applyFont="1" applyBorder="1"/>
    <xf numFmtId="164" fontId="24" fillId="0" borderId="0" xfId="1" applyFont="1" applyBorder="1"/>
    <xf numFmtId="164" fontId="0" fillId="0" borderId="0" xfId="0" applyNumberFormat="1" applyBorder="1"/>
    <xf numFmtId="164" fontId="29" fillId="0" borderId="0" xfId="0" applyNumberFormat="1" applyFont="1" applyBorder="1"/>
    <xf numFmtId="0" fontId="27" fillId="4" borderId="0" xfId="3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17" fillId="0" borderId="9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5" fillId="0" borderId="0" xfId="0" applyFont="1" applyAlignment="1">
      <alignment horizontal="left" wrapText="1"/>
    </xf>
    <xf numFmtId="0" fontId="20" fillId="0" borderId="9" xfId="0" applyFont="1" applyBorder="1" applyAlignment="1">
      <alignment horizontal="center"/>
    </xf>
    <xf numFmtId="164" fontId="21" fillId="0" borderId="5" xfId="1" applyFont="1" applyBorder="1" applyAlignment="1">
      <alignment horizontal="center"/>
    </xf>
    <xf numFmtId="164" fontId="21" fillId="0" borderId="10" xfId="1" applyFont="1" applyBorder="1" applyAlignment="1">
      <alignment horizontal="center"/>
    </xf>
    <xf numFmtId="164" fontId="21" fillId="0" borderId="2" xfId="1" applyFont="1" applyBorder="1" applyAlignment="1">
      <alignment horizontal="center"/>
    </xf>
    <xf numFmtId="0" fontId="22" fillId="0" borderId="5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165" fontId="24" fillId="0" borderId="1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1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_Sheet1" xfId="2" xr:uid="{00000000-0005-0000-0000-000002000000}"/>
    <cellStyle name="Normal_TOTALDATA_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75" x14ac:dyDescent="0.2"/>
  <cols>
    <col min="2" max="2" width="23" bestFit="1" customWidth="1"/>
    <col min="6" max="6" width="24.5703125" customWidth="1"/>
  </cols>
  <sheetData>
    <row r="1" spans="1:8" ht="23.1" customHeight="1" x14ac:dyDescent="0.2">
      <c r="B1">
        <f ca="1">MONTH(NOW())</f>
        <v>12</v>
      </c>
      <c r="C1">
        <f ca="1">YEAR(NOW())</f>
        <v>2021</v>
      </c>
    </row>
    <row r="2" spans="1:8" ht="23.1" customHeight="1" x14ac:dyDescent="0.2"/>
    <row r="3" spans="1:8" ht="23.1" customHeight="1" x14ac:dyDescent="0.2">
      <c r="B3" t="s">
        <v>74</v>
      </c>
      <c r="F3" t="s">
        <v>75</v>
      </c>
    </row>
    <row r="4" spans="1:8" ht="23.1" customHeight="1" x14ac:dyDescent="0.2">
      <c r="B4" t="s">
        <v>71</v>
      </c>
      <c r="C4" t="s">
        <v>72</v>
      </c>
      <c r="D4" t="s">
        <v>73</v>
      </c>
      <c r="F4" t="s">
        <v>71</v>
      </c>
      <c r="G4" t="s">
        <v>72</v>
      </c>
      <c r="H4" t="s">
        <v>73</v>
      </c>
    </row>
    <row r="5" spans="1:8" ht="23.1" customHeight="1" x14ac:dyDescent="0.2">
      <c r="B5" s="19" t="e">
        <f>IF(G5=1,F5-1,F5)</f>
        <v>#REF!</v>
      </c>
      <c r="C5" s="19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35">
      <c r="B6" s="21" t="e">
        <f>LOOKUP(C5,A8:B19)</f>
        <v>#REF!</v>
      </c>
      <c r="F6" s="21" t="e">
        <f>IF(G5=1,LOOKUP(G5,E8:F19),LOOKUP(G5,A8:B19))</f>
        <v>#REF!</v>
      </c>
    </row>
    <row r="8" spans="1:8" x14ac:dyDescent="0.2">
      <c r="A8">
        <v>1</v>
      </c>
      <c r="B8" s="22" t="e">
        <f>D8&amp;"-"&amp;RIGHT(B$5,2)</f>
        <v>#REF!</v>
      </c>
      <c r="D8" s="20" t="s">
        <v>84</v>
      </c>
      <c r="E8">
        <v>1</v>
      </c>
      <c r="F8" s="22" t="e">
        <f>D8&amp;"-"&amp;RIGHT(F$5,2)</f>
        <v>#REF!</v>
      </c>
    </row>
    <row r="9" spans="1:8" x14ac:dyDescent="0.2">
      <c r="A9">
        <v>2</v>
      </c>
      <c r="B9" s="22" t="e">
        <f t="shared" ref="B9:B19" si="0">D9&amp;"-"&amp;RIGHT(B$5,2)</f>
        <v>#REF!</v>
      </c>
      <c r="D9" s="20" t="s">
        <v>85</v>
      </c>
      <c r="E9">
        <v>2</v>
      </c>
      <c r="F9" s="22" t="e">
        <f t="shared" ref="F9:F19" si="1">D9&amp;"-"&amp;RIGHT(F$5,2)</f>
        <v>#REF!</v>
      </c>
    </row>
    <row r="10" spans="1:8" x14ac:dyDescent="0.2">
      <c r="A10">
        <v>3</v>
      </c>
      <c r="B10" s="22" t="e">
        <f t="shared" si="0"/>
        <v>#REF!</v>
      </c>
      <c r="D10" s="20" t="s">
        <v>86</v>
      </c>
      <c r="E10">
        <v>3</v>
      </c>
      <c r="F10" s="22" t="e">
        <f t="shared" si="1"/>
        <v>#REF!</v>
      </c>
    </row>
    <row r="11" spans="1:8" x14ac:dyDescent="0.2">
      <c r="A11">
        <v>4</v>
      </c>
      <c r="B11" s="22" t="e">
        <f t="shared" si="0"/>
        <v>#REF!</v>
      </c>
      <c r="D11" s="20" t="s">
        <v>87</v>
      </c>
      <c r="E11">
        <v>4</v>
      </c>
      <c r="F11" s="22" t="e">
        <f t="shared" si="1"/>
        <v>#REF!</v>
      </c>
    </row>
    <row r="12" spans="1:8" x14ac:dyDescent="0.2">
      <c r="A12">
        <v>5</v>
      </c>
      <c r="B12" s="22" t="e">
        <f t="shared" si="0"/>
        <v>#REF!</v>
      </c>
      <c r="D12" s="20" t="s">
        <v>76</v>
      </c>
      <c r="E12">
        <v>5</v>
      </c>
      <c r="F12" s="22" t="e">
        <f t="shared" si="1"/>
        <v>#REF!</v>
      </c>
    </row>
    <row r="13" spans="1:8" x14ac:dyDescent="0.2">
      <c r="A13">
        <v>6</v>
      </c>
      <c r="B13" s="22" t="e">
        <f t="shared" si="0"/>
        <v>#REF!</v>
      </c>
      <c r="D13" s="20" t="s">
        <v>77</v>
      </c>
      <c r="E13">
        <v>6</v>
      </c>
      <c r="F13" s="22" t="e">
        <f t="shared" si="1"/>
        <v>#REF!</v>
      </c>
    </row>
    <row r="14" spans="1:8" x14ac:dyDescent="0.2">
      <c r="A14">
        <v>7</v>
      </c>
      <c r="B14" s="22" t="e">
        <f t="shared" si="0"/>
        <v>#REF!</v>
      </c>
      <c r="D14" s="20" t="s">
        <v>78</v>
      </c>
      <c r="E14">
        <v>7</v>
      </c>
      <c r="F14" s="22" t="e">
        <f t="shared" si="1"/>
        <v>#REF!</v>
      </c>
    </row>
    <row r="15" spans="1:8" x14ac:dyDescent="0.2">
      <c r="A15">
        <v>8</v>
      </c>
      <c r="B15" s="22" t="e">
        <f t="shared" si="0"/>
        <v>#REF!</v>
      </c>
      <c r="D15" s="20" t="s">
        <v>79</v>
      </c>
      <c r="E15">
        <v>8</v>
      </c>
      <c r="F15" s="22" t="e">
        <f t="shared" si="1"/>
        <v>#REF!</v>
      </c>
    </row>
    <row r="16" spans="1:8" x14ac:dyDescent="0.2">
      <c r="A16">
        <v>9</v>
      </c>
      <c r="B16" s="22" t="e">
        <f t="shared" si="0"/>
        <v>#REF!</v>
      </c>
      <c r="D16" s="20" t="s">
        <v>80</v>
      </c>
      <c r="E16">
        <v>9</v>
      </c>
      <c r="F16" s="22" t="e">
        <f t="shared" si="1"/>
        <v>#REF!</v>
      </c>
    </row>
    <row r="17" spans="1:6" x14ac:dyDescent="0.2">
      <c r="A17">
        <v>10</v>
      </c>
      <c r="B17" s="22" t="e">
        <f t="shared" si="0"/>
        <v>#REF!</v>
      </c>
      <c r="D17" s="20" t="s">
        <v>81</v>
      </c>
      <c r="E17">
        <v>10</v>
      </c>
      <c r="F17" s="22" t="e">
        <f t="shared" si="1"/>
        <v>#REF!</v>
      </c>
    </row>
    <row r="18" spans="1:6" x14ac:dyDescent="0.2">
      <c r="A18">
        <v>11</v>
      </c>
      <c r="B18" s="22" t="e">
        <f t="shared" si="0"/>
        <v>#REF!</v>
      </c>
      <c r="D18" s="20" t="s">
        <v>82</v>
      </c>
      <c r="E18">
        <v>11</v>
      </c>
      <c r="F18" s="22" t="e">
        <f t="shared" si="1"/>
        <v>#REF!</v>
      </c>
    </row>
    <row r="19" spans="1:6" x14ac:dyDescent="0.2">
      <c r="A19">
        <v>12</v>
      </c>
      <c r="B19" s="22" t="e">
        <f t="shared" si="0"/>
        <v>#REF!</v>
      </c>
      <c r="D19" s="20" t="s">
        <v>83</v>
      </c>
      <c r="E19">
        <v>12</v>
      </c>
      <c r="F19" s="22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41"/>
  <sheetViews>
    <sheetView zoomScale="70" workbookViewId="0">
      <selection sqref="A1:H1"/>
    </sheetView>
  </sheetViews>
  <sheetFormatPr defaultColWidth="9.140625" defaultRowHeight="20.25" x14ac:dyDescent="0.3"/>
  <cols>
    <col min="1" max="1" width="6.28515625" style="24" customWidth="1"/>
    <col min="2" max="2" width="40.85546875" style="24" customWidth="1"/>
    <col min="3" max="3" width="35.140625" style="24" customWidth="1"/>
    <col min="4" max="4" width="40.42578125" style="24" customWidth="1"/>
    <col min="5" max="5" width="39" style="24" customWidth="1"/>
    <col min="6" max="6" width="43.140625" style="24" customWidth="1"/>
    <col min="7" max="7" width="42.85546875" style="24" customWidth="1"/>
    <col min="8" max="8" width="38.85546875" style="24" customWidth="1"/>
    <col min="9" max="9" width="5.5703125" style="24" customWidth="1"/>
    <col min="10" max="10" width="3.85546875" style="24" customWidth="1"/>
    <col min="11" max="11" width="9.140625" style="24"/>
    <col min="12" max="12" width="28.7109375" style="24" bestFit="1" customWidth="1"/>
    <col min="13" max="16384" width="9.140625" style="24"/>
  </cols>
  <sheetData>
    <row r="1" spans="1:12" ht="35.1" customHeight="1" x14ac:dyDescent="0.3">
      <c r="A1" s="92" t="s">
        <v>89</v>
      </c>
      <c r="B1" s="92"/>
      <c r="C1" s="92"/>
      <c r="D1" s="92"/>
      <c r="E1" s="92"/>
      <c r="F1" s="92"/>
      <c r="G1" s="92"/>
      <c r="H1" s="92"/>
    </row>
    <row r="2" spans="1:12" ht="35.1" customHeight="1" x14ac:dyDescent="0.3">
      <c r="A2" s="93" t="s">
        <v>90</v>
      </c>
      <c r="B2" s="93"/>
      <c r="C2" s="93"/>
      <c r="D2" s="93"/>
      <c r="E2" s="93"/>
      <c r="F2" s="93"/>
      <c r="G2" s="93"/>
      <c r="H2" s="93"/>
      <c r="K2" s="25"/>
      <c r="L2" s="25"/>
    </row>
    <row r="3" spans="1:12" ht="35.1" customHeight="1" x14ac:dyDescent="0.3">
      <c r="A3" s="94" t="s">
        <v>103</v>
      </c>
      <c r="B3" s="95"/>
      <c r="C3" s="95"/>
      <c r="D3" s="95"/>
      <c r="E3" s="95"/>
      <c r="F3" s="95"/>
      <c r="G3" s="95"/>
      <c r="H3" s="96"/>
      <c r="K3" s="25"/>
      <c r="L3" s="25"/>
    </row>
    <row r="4" spans="1:12" ht="35.1" customHeight="1" x14ac:dyDescent="0.3">
      <c r="A4" s="93" t="s">
        <v>20</v>
      </c>
      <c r="B4" s="93"/>
      <c r="C4" s="93"/>
      <c r="D4" s="93"/>
      <c r="E4" s="93"/>
      <c r="F4" s="93"/>
      <c r="G4" s="97"/>
      <c r="H4" s="97"/>
      <c r="I4" s="26"/>
      <c r="J4" s="26"/>
      <c r="K4" s="26"/>
    </row>
    <row r="5" spans="1:12" ht="77.25" customHeight="1" x14ac:dyDescent="0.3">
      <c r="A5" s="54" t="s">
        <v>0</v>
      </c>
      <c r="B5" s="54" t="s">
        <v>19</v>
      </c>
      <c r="C5" s="27" t="s">
        <v>14</v>
      </c>
      <c r="D5" s="28" t="s">
        <v>32</v>
      </c>
      <c r="E5" s="27" t="s">
        <v>24</v>
      </c>
      <c r="F5" s="27" t="s">
        <v>15</v>
      </c>
      <c r="G5" s="50"/>
      <c r="H5" s="50"/>
    </row>
    <row r="6" spans="1:12" ht="35.1" customHeight="1" x14ac:dyDescent="0.3">
      <c r="A6" s="27"/>
      <c r="B6" s="27"/>
      <c r="C6" s="29" t="s">
        <v>91</v>
      </c>
      <c r="D6" s="30" t="s">
        <v>91</v>
      </c>
      <c r="E6" s="29" t="s">
        <v>91</v>
      </c>
      <c r="F6" s="29" t="s">
        <v>91</v>
      </c>
      <c r="G6" s="51"/>
      <c r="H6" s="51"/>
    </row>
    <row r="7" spans="1:12" ht="35.1" customHeight="1" x14ac:dyDescent="0.3">
      <c r="A7" s="31">
        <v>1</v>
      </c>
      <c r="B7" s="31" t="s">
        <v>21</v>
      </c>
      <c r="C7" s="33">
        <v>299003448993.88678</v>
      </c>
      <c r="D7" s="33">
        <v>1138832949.4359</v>
      </c>
      <c r="E7" s="34">
        <v>21083242745.076</v>
      </c>
      <c r="F7" s="34">
        <f>C7+D7+E7</f>
        <v>321225524688.39868</v>
      </c>
      <c r="G7" s="52"/>
      <c r="H7" s="53"/>
    </row>
    <row r="8" spans="1:12" ht="35.1" customHeight="1" x14ac:dyDescent="0.3">
      <c r="A8" s="31">
        <v>2</v>
      </c>
      <c r="B8" s="31" t="s">
        <v>26</v>
      </c>
      <c r="C8" s="32">
        <v>151658545123.70261</v>
      </c>
      <c r="D8" s="32">
        <v>577631290.98189998</v>
      </c>
      <c r="E8" s="32">
        <v>70277475816.919998</v>
      </c>
      <c r="F8" s="34">
        <f t="shared" ref="F8:F19" si="0">C8+D8+E8</f>
        <v>222513652231.60449</v>
      </c>
      <c r="G8" s="52"/>
      <c r="H8" s="53"/>
    </row>
    <row r="9" spans="1:12" ht="35.1" customHeight="1" x14ac:dyDescent="0.3">
      <c r="A9" s="31">
        <v>3</v>
      </c>
      <c r="B9" s="31" t="s">
        <v>27</v>
      </c>
      <c r="C9" s="32">
        <v>116922381345.3696</v>
      </c>
      <c r="D9" s="32">
        <v>445329513.25700003</v>
      </c>
      <c r="E9" s="32">
        <v>49194233071.844002</v>
      </c>
      <c r="F9" s="34">
        <f t="shared" si="0"/>
        <v>166561943930.47061</v>
      </c>
      <c r="G9" s="52"/>
      <c r="H9" s="53"/>
    </row>
    <row r="10" spans="1:12" ht="35.1" customHeight="1" x14ac:dyDescent="0.3">
      <c r="A10" s="31">
        <v>4</v>
      </c>
      <c r="B10" s="31" t="s">
        <v>16</v>
      </c>
      <c r="C10" s="36">
        <v>50120315139.920998</v>
      </c>
      <c r="D10" s="32">
        <v>295420483.81</v>
      </c>
      <c r="E10" s="32">
        <v>0</v>
      </c>
      <c r="F10" s="34">
        <f t="shared" si="0"/>
        <v>50415735623.730995</v>
      </c>
      <c r="G10" s="52"/>
      <c r="H10" s="53"/>
    </row>
    <row r="11" spans="1:12" ht="35.1" customHeight="1" x14ac:dyDescent="0.3">
      <c r="A11" s="31">
        <v>5</v>
      </c>
      <c r="B11" s="31" t="s">
        <v>33</v>
      </c>
      <c r="C11" s="32">
        <v>6983148496.5600004</v>
      </c>
      <c r="D11" s="32">
        <v>0</v>
      </c>
      <c r="E11" s="32">
        <v>753836651.16999996</v>
      </c>
      <c r="F11" s="34">
        <f t="shared" si="0"/>
        <v>7736985147.7300005</v>
      </c>
      <c r="G11" s="52"/>
      <c r="H11" s="53"/>
    </row>
    <row r="12" spans="1:12" ht="35.1" customHeight="1" x14ac:dyDescent="0.3">
      <c r="A12" s="31">
        <v>6</v>
      </c>
      <c r="B12" s="37" t="s">
        <v>92</v>
      </c>
      <c r="C12" s="32">
        <v>6900708829.8999996</v>
      </c>
      <c r="D12" s="32">
        <v>0</v>
      </c>
      <c r="E12" s="32">
        <v>5291537612.6499996</v>
      </c>
      <c r="F12" s="34">
        <f t="shared" si="0"/>
        <v>12192246442.549999</v>
      </c>
      <c r="G12" s="52"/>
      <c r="H12" s="53"/>
    </row>
    <row r="13" spans="1:12" ht="35.1" customHeight="1" x14ac:dyDescent="0.3">
      <c r="A13" s="31">
        <v>7</v>
      </c>
      <c r="B13" s="37" t="s">
        <v>93</v>
      </c>
      <c r="C13" s="32">
        <v>8215861447.7299995</v>
      </c>
      <c r="D13" s="32">
        <v>0</v>
      </c>
      <c r="E13" s="32">
        <v>0</v>
      </c>
      <c r="F13" s="34">
        <f t="shared" si="0"/>
        <v>8215861447.7299995</v>
      </c>
      <c r="G13" s="52"/>
      <c r="H13" s="53"/>
    </row>
    <row r="14" spans="1:12" ht="42.75" customHeight="1" x14ac:dyDescent="0.3">
      <c r="A14" s="31">
        <v>8</v>
      </c>
      <c r="B14" s="37" t="s">
        <v>94</v>
      </c>
      <c r="C14" s="32">
        <v>100000000</v>
      </c>
      <c r="D14" s="32">
        <v>0</v>
      </c>
      <c r="E14" s="32">
        <v>0</v>
      </c>
      <c r="F14" s="34">
        <f t="shared" si="0"/>
        <v>100000000</v>
      </c>
      <c r="G14" s="52"/>
      <c r="H14" s="53"/>
    </row>
    <row r="15" spans="1:12" ht="35.1" customHeight="1" x14ac:dyDescent="0.3">
      <c r="A15" s="31">
        <v>9</v>
      </c>
      <c r="B15" s="37" t="s">
        <v>95</v>
      </c>
      <c r="C15" s="32">
        <v>3017760038.1300001</v>
      </c>
      <c r="D15" s="32">
        <v>0</v>
      </c>
      <c r="E15" s="32">
        <v>0</v>
      </c>
      <c r="F15" s="34">
        <f t="shared" si="0"/>
        <v>3017760038.1300001</v>
      </c>
      <c r="G15" s="52"/>
      <c r="H15" s="53"/>
    </row>
    <row r="16" spans="1:12" ht="49.5" customHeight="1" x14ac:dyDescent="0.3">
      <c r="A16" s="31">
        <v>10</v>
      </c>
      <c r="B16" s="37" t="s">
        <v>96</v>
      </c>
      <c r="C16" s="35">
        <v>23920441326.360001</v>
      </c>
      <c r="D16" s="32">
        <v>0</v>
      </c>
      <c r="E16" s="32">
        <v>0</v>
      </c>
      <c r="F16" s="34">
        <f t="shared" si="0"/>
        <v>23920441326.360001</v>
      </c>
      <c r="G16" s="52"/>
      <c r="H16" s="53"/>
    </row>
    <row r="17" spans="1:12" ht="65.25" customHeight="1" x14ac:dyDescent="0.3">
      <c r="A17" s="31">
        <v>11</v>
      </c>
      <c r="B17" s="37" t="s">
        <v>124</v>
      </c>
      <c r="C17" s="35">
        <v>1058893.75</v>
      </c>
      <c r="D17" s="32">
        <v>0</v>
      </c>
      <c r="E17" s="32">
        <v>0</v>
      </c>
      <c r="F17" s="34">
        <f t="shared" si="0"/>
        <v>1058893.75</v>
      </c>
      <c r="G17" s="52"/>
      <c r="H17" s="53"/>
    </row>
    <row r="18" spans="1:12" ht="65.25" customHeight="1" x14ac:dyDescent="0.3">
      <c r="A18" s="31">
        <v>12</v>
      </c>
      <c r="B18" s="37" t="s">
        <v>125</v>
      </c>
      <c r="C18" s="35">
        <v>3784242004</v>
      </c>
      <c r="D18" s="32"/>
      <c r="E18" s="32"/>
      <c r="F18" s="34">
        <f t="shared" si="0"/>
        <v>3784242004</v>
      </c>
      <c r="G18" s="52"/>
      <c r="H18" s="53"/>
    </row>
    <row r="19" spans="1:12" ht="41.25" customHeight="1" x14ac:dyDescent="0.3">
      <c r="A19" s="31">
        <v>13</v>
      </c>
      <c r="B19" s="37" t="s">
        <v>97</v>
      </c>
      <c r="C19" s="35">
        <v>0</v>
      </c>
      <c r="D19" s="32">
        <v>0</v>
      </c>
      <c r="E19" s="32">
        <v>4534030697.8699999</v>
      </c>
      <c r="F19" s="34">
        <f t="shared" si="0"/>
        <v>4534030697.8699999</v>
      </c>
      <c r="G19" s="52"/>
      <c r="H19" s="53"/>
    </row>
    <row r="20" spans="1:12" ht="35.1" customHeight="1" x14ac:dyDescent="0.3">
      <c r="A20" s="31"/>
      <c r="B20" s="28" t="s">
        <v>98</v>
      </c>
      <c r="C20" s="35">
        <f>SUM(C7:C19)</f>
        <v>670627911639.31006</v>
      </c>
      <c r="D20" s="35">
        <f>SUM(D7:D19)</f>
        <v>2457214237.4847999</v>
      </c>
      <c r="E20" s="35">
        <f>SUM(E7:E19)</f>
        <v>151134356595.53</v>
      </c>
      <c r="F20" s="35">
        <f>SUM(F7:F19)</f>
        <v>824219482472.32471</v>
      </c>
      <c r="G20" s="53"/>
      <c r="H20" s="53"/>
    </row>
    <row r="21" spans="1:12" ht="70.5" customHeight="1" x14ac:dyDescent="0.3">
      <c r="A21" s="98"/>
      <c r="B21" s="98"/>
      <c r="C21" s="98"/>
      <c r="D21" s="98"/>
      <c r="E21" s="98"/>
      <c r="F21" s="98"/>
      <c r="G21" s="99"/>
      <c r="H21" s="99"/>
    </row>
    <row r="22" spans="1:12" ht="70.5" customHeight="1" x14ac:dyDescent="0.35">
      <c r="A22" s="88" t="s">
        <v>104</v>
      </c>
      <c r="B22" s="88"/>
      <c r="C22" s="88"/>
      <c r="D22" s="88"/>
      <c r="E22" s="88"/>
      <c r="F22" s="88"/>
      <c r="G22" s="88"/>
      <c r="H22" s="88"/>
    </row>
    <row r="23" spans="1:12" ht="70.5" customHeight="1" x14ac:dyDescent="0.3">
      <c r="A23" s="27">
        <v>0</v>
      </c>
      <c r="B23" s="27">
        <v>1</v>
      </c>
      <c r="C23" s="27">
        <v>2</v>
      </c>
      <c r="D23" s="27">
        <v>3</v>
      </c>
      <c r="E23" s="27" t="s">
        <v>99</v>
      </c>
      <c r="F23" s="38">
        <v>5</v>
      </c>
      <c r="G23" s="27">
        <v>6</v>
      </c>
      <c r="H23" s="27">
        <v>7</v>
      </c>
    </row>
    <row r="24" spans="1:12" ht="70.5" customHeight="1" x14ac:dyDescent="0.3">
      <c r="A24" s="28" t="s">
        <v>0</v>
      </c>
      <c r="B24" s="28" t="s">
        <v>19</v>
      </c>
      <c r="C24" s="39" t="s">
        <v>7</v>
      </c>
      <c r="D24" s="28" t="s">
        <v>100</v>
      </c>
      <c r="E24" s="28" t="s">
        <v>12</v>
      </c>
      <c r="F24" s="28" t="s">
        <v>32</v>
      </c>
      <c r="G24" s="28" t="s">
        <v>24</v>
      </c>
      <c r="H24" s="28" t="s">
        <v>13</v>
      </c>
    </row>
    <row r="25" spans="1:12" ht="70.5" customHeight="1" x14ac:dyDescent="0.3">
      <c r="A25" s="31"/>
      <c r="B25" s="31"/>
      <c r="C25" s="29" t="s">
        <v>91</v>
      </c>
      <c r="D25" s="29" t="s">
        <v>91</v>
      </c>
      <c r="E25" s="29" t="s">
        <v>91</v>
      </c>
      <c r="F25" s="29" t="s">
        <v>91</v>
      </c>
      <c r="G25" s="29" t="s">
        <v>91</v>
      </c>
      <c r="H25" s="29" t="s">
        <v>91</v>
      </c>
    </row>
    <row r="26" spans="1:12" ht="70.5" customHeight="1" x14ac:dyDescent="0.3">
      <c r="A26" s="31">
        <v>1</v>
      </c>
      <c r="B26" s="40" t="s">
        <v>17</v>
      </c>
      <c r="C26" s="41">
        <v>275278422099.53522</v>
      </c>
      <c r="D26" s="41">
        <v>-88438755877.949997</v>
      </c>
      <c r="E26" s="41">
        <f>C26+D26</f>
        <v>186839666221.58521</v>
      </c>
      <c r="F26" s="42">
        <v>1048469970.5323</v>
      </c>
      <c r="G26" s="41">
        <v>19677693228.740002</v>
      </c>
      <c r="H26" s="43">
        <f>E26+F26+G26</f>
        <v>207565829420.85748</v>
      </c>
    </row>
    <row r="27" spans="1:12" ht="70.5" customHeight="1" x14ac:dyDescent="0.3">
      <c r="A27" s="31">
        <v>2</v>
      </c>
      <c r="B27" s="40" t="s">
        <v>18</v>
      </c>
      <c r="C27" s="41">
        <v>5675843754.6295996</v>
      </c>
      <c r="D27" s="41">
        <v>0</v>
      </c>
      <c r="E27" s="41">
        <f t="shared" ref="E27:E29" si="1">C27+D27</f>
        <v>5675843754.6295996</v>
      </c>
      <c r="F27" s="42">
        <v>21617937.536699999</v>
      </c>
      <c r="G27" s="41">
        <v>0</v>
      </c>
      <c r="H27" s="43">
        <f t="shared" ref="H27:H30" si="2">E27+F27+G27</f>
        <v>5697461692.1662998</v>
      </c>
    </row>
    <row r="28" spans="1:12" ht="70.5" customHeight="1" x14ac:dyDescent="0.3">
      <c r="A28" s="31">
        <v>3</v>
      </c>
      <c r="B28" s="40" t="s">
        <v>4</v>
      </c>
      <c r="C28" s="41">
        <v>2837921877.3147998</v>
      </c>
      <c r="D28" s="41">
        <v>0</v>
      </c>
      <c r="E28" s="41">
        <f t="shared" si="1"/>
        <v>2837921877.3147998</v>
      </c>
      <c r="F28" s="42">
        <v>10808968.7684</v>
      </c>
      <c r="G28" s="42">
        <v>0</v>
      </c>
      <c r="H28" s="43">
        <f t="shared" si="2"/>
        <v>2848730846.0832</v>
      </c>
    </row>
    <row r="29" spans="1:12" ht="70.5" customHeight="1" x14ac:dyDescent="0.3">
      <c r="A29" s="31">
        <v>4</v>
      </c>
      <c r="B29" s="37" t="s">
        <v>5</v>
      </c>
      <c r="C29" s="41">
        <v>9535417507.7777004</v>
      </c>
      <c r="D29" s="41">
        <v>0</v>
      </c>
      <c r="E29" s="41">
        <f t="shared" si="1"/>
        <v>9535417507.7777004</v>
      </c>
      <c r="F29" s="42">
        <v>36318135.060000002</v>
      </c>
      <c r="G29" s="41">
        <v>0</v>
      </c>
      <c r="H29" s="43">
        <f t="shared" si="2"/>
        <v>9571735642.8376999</v>
      </c>
    </row>
    <row r="30" spans="1:12" ht="70.5" customHeight="1" thickBot="1" x14ac:dyDescent="0.35">
      <c r="A30" s="31">
        <v>5</v>
      </c>
      <c r="B30" s="31" t="s">
        <v>6</v>
      </c>
      <c r="C30" s="41">
        <v>5675843754.6295996</v>
      </c>
      <c r="D30" s="41">
        <v>-49928019</v>
      </c>
      <c r="E30" s="41">
        <f>C30+D30</f>
        <v>5625915735.6295996</v>
      </c>
      <c r="F30" s="42">
        <v>21617937.536699999</v>
      </c>
      <c r="G30" s="41">
        <v>1405549516.3399999</v>
      </c>
      <c r="H30" s="43">
        <f t="shared" si="2"/>
        <v>7053083189.5063</v>
      </c>
    </row>
    <row r="31" spans="1:12" ht="70.5" customHeight="1" thickTop="1" thickBot="1" x14ac:dyDescent="0.35">
      <c r="A31" s="31"/>
      <c r="B31" s="38" t="s">
        <v>15</v>
      </c>
      <c r="C31" s="44">
        <f>SUM(C26:C30)</f>
        <v>299003448993.8869</v>
      </c>
      <c r="D31" s="44">
        <f t="shared" ref="D31:H31" si="3">SUM(D26:D30)</f>
        <v>-88488683896.949997</v>
      </c>
      <c r="E31" s="44">
        <f t="shared" si="3"/>
        <v>210514765096.93692</v>
      </c>
      <c r="F31" s="44">
        <f t="shared" si="3"/>
        <v>1138832949.4340999</v>
      </c>
      <c r="G31" s="44">
        <f t="shared" si="3"/>
        <v>21083242745.080002</v>
      </c>
      <c r="H31" s="44">
        <f t="shared" si="3"/>
        <v>232736840791.45096</v>
      </c>
      <c r="L31" s="45"/>
    </row>
    <row r="32" spans="1:12" ht="70.5" customHeight="1" thickTop="1" x14ac:dyDescent="0.3">
      <c r="D32" s="45"/>
      <c r="E32" s="45"/>
      <c r="F32" s="46"/>
      <c r="G32" s="46"/>
      <c r="H32" s="47"/>
    </row>
    <row r="33" spans="1:8" ht="70.5" customHeight="1" x14ac:dyDescent="0.3">
      <c r="A33" s="48" t="s">
        <v>101</v>
      </c>
      <c r="E33" s="45"/>
      <c r="F33" s="45"/>
    </row>
    <row r="34" spans="1:8" ht="70.5" customHeight="1" x14ac:dyDescent="0.3">
      <c r="A34" s="89" t="s">
        <v>102</v>
      </c>
      <c r="B34" s="89"/>
      <c r="C34" s="89"/>
      <c r="D34" s="89"/>
      <c r="E34" s="89"/>
      <c r="F34" s="89"/>
      <c r="G34" s="89"/>
      <c r="H34" s="89"/>
    </row>
    <row r="35" spans="1:8" ht="70.5" customHeight="1" x14ac:dyDescent="0.3">
      <c r="B35" s="49"/>
      <c r="C35" s="49"/>
      <c r="D35" s="49"/>
      <c r="E35" s="49"/>
      <c r="F35" s="49"/>
    </row>
    <row r="36" spans="1:8" ht="70.5" customHeight="1" x14ac:dyDescent="0.3">
      <c r="B36" s="49"/>
      <c r="C36" s="49"/>
      <c r="D36" s="49"/>
      <c r="E36" s="49"/>
      <c r="F36" s="49"/>
    </row>
    <row r="37" spans="1:8" ht="70.5" customHeight="1" x14ac:dyDescent="0.3">
      <c r="B37" s="49"/>
      <c r="C37" s="49"/>
      <c r="D37" s="49"/>
      <c r="E37" s="49"/>
      <c r="F37" s="49"/>
    </row>
    <row r="38" spans="1:8" ht="70.5" customHeight="1" x14ac:dyDescent="0.3">
      <c r="C38" s="90" t="s">
        <v>28</v>
      </c>
      <c r="D38" s="90"/>
      <c r="E38" s="90"/>
      <c r="F38" s="90"/>
      <c r="G38" s="90"/>
      <c r="H38" s="90"/>
    </row>
    <row r="39" spans="1:8" ht="33.6" customHeight="1" x14ac:dyDescent="0.4">
      <c r="C39" s="91" t="s">
        <v>130</v>
      </c>
      <c r="D39" s="91"/>
      <c r="E39" s="91"/>
      <c r="F39" s="91"/>
      <c r="G39" s="91"/>
      <c r="H39" s="91"/>
    </row>
    <row r="40" spans="1:8" ht="36.6" customHeight="1" x14ac:dyDescent="0.35">
      <c r="C40" s="87" t="s">
        <v>131</v>
      </c>
      <c r="D40" s="87"/>
      <c r="E40" s="87"/>
      <c r="F40" s="87"/>
      <c r="G40" s="87"/>
      <c r="H40" s="87"/>
    </row>
    <row r="41" spans="1:8" ht="26.45" customHeight="1" x14ac:dyDescent="0.35">
      <c r="C41" s="87" t="s">
        <v>30</v>
      </c>
      <c r="D41" s="87"/>
      <c r="E41" s="87"/>
      <c r="F41" s="87"/>
      <c r="G41" s="87"/>
      <c r="H41" s="87"/>
    </row>
  </sheetData>
  <mergeCells count="11">
    <mergeCell ref="A1:H1"/>
    <mergeCell ref="A2:H2"/>
    <mergeCell ref="A3:H3"/>
    <mergeCell ref="A4:H4"/>
    <mergeCell ref="A21:H21"/>
    <mergeCell ref="C41:H41"/>
    <mergeCell ref="A22:H22"/>
    <mergeCell ref="A34:H34"/>
    <mergeCell ref="C38:H38"/>
    <mergeCell ref="C39:H39"/>
    <mergeCell ref="C40:H40"/>
  </mergeCells>
  <phoneticPr fontId="3" type="noConversion"/>
  <pageMargins left="0.74803149606299213" right="0.74803149606299213" top="0.39370078740157483" bottom="0.41" header="0.51181102362204722" footer="0.51181102362204722"/>
  <pageSetup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R55"/>
  <sheetViews>
    <sheetView zoomScale="80" zoomScaleNormal="80" workbookViewId="0">
      <pane xSplit="3" ySplit="9" topLeftCell="I40" activePane="bottomRight" state="frozen"/>
      <selection pane="topRight" activeCell="D1" sqref="D1"/>
      <selection pane="bottomLeft" activeCell="A10" sqref="A10"/>
      <selection pane="bottomRight" activeCell="P47" sqref="P47"/>
    </sheetView>
  </sheetViews>
  <sheetFormatPr defaultRowHeight="12.75" x14ac:dyDescent="0.2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0" width="19.5703125" customWidth="1"/>
    <col min="11" max="12" width="21" customWidth="1"/>
    <col min="13" max="13" width="22" bestFit="1" customWidth="1"/>
    <col min="14" max="15" width="22" customWidth="1"/>
    <col min="16" max="16" width="24.140625" bestFit="1" customWidth="1"/>
    <col min="17" max="17" width="20.140625" bestFit="1" customWidth="1"/>
    <col min="18" max="18" width="4.28515625" bestFit="1" customWidth="1"/>
  </cols>
  <sheetData>
    <row r="1" spans="1:18" ht="26.25" x14ac:dyDescent="0.4">
      <c r="A1" s="91" t="s">
        <v>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26.25" x14ac:dyDescent="0.4">
      <c r="A2" s="91" t="s">
        <v>105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18" customHeight="1" x14ac:dyDescent="0.25">
      <c r="H3" s="12" t="s">
        <v>22</v>
      </c>
    </row>
    <row r="4" spans="1:18" ht="18" x14ac:dyDescent="0.25">
      <c r="A4" s="109" t="s">
        <v>107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8" ht="20.25" x14ac:dyDescent="0.3">
      <c r="A5" s="11"/>
      <c r="B5" s="11"/>
      <c r="C5" s="11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"/>
    </row>
    <row r="6" spans="1:18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8</v>
      </c>
      <c r="G6" s="2">
        <v>7</v>
      </c>
      <c r="H6" s="2">
        <v>8</v>
      </c>
      <c r="I6" s="2">
        <v>9</v>
      </c>
      <c r="J6" s="2" t="s">
        <v>9</v>
      </c>
      <c r="K6" s="2">
        <v>11</v>
      </c>
      <c r="L6" s="23">
        <v>12</v>
      </c>
      <c r="M6" s="2">
        <v>13</v>
      </c>
      <c r="N6" s="23">
        <v>14</v>
      </c>
      <c r="O6" s="23">
        <v>15</v>
      </c>
      <c r="P6" s="2" t="s">
        <v>128</v>
      </c>
      <c r="Q6" s="2" t="s">
        <v>129</v>
      </c>
      <c r="R6" s="1"/>
    </row>
    <row r="7" spans="1:18" ht="12.75" customHeight="1" x14ac:dyDescent="0.2">
      <c r="A7" s="105" t="s">
        <v>0</v>
      </c>
      <c r="B7" s="105" t="s">
        <v>19</v>
      </c>
      <c r="C7" s="105" t="s">
        <v>1</v>
      </c>
      <c r="D7" s="105" t="s">
        <v>7</v>
      </c>
      <c r="E7" s="105" t="s">
        <v>31</v>
      </c>
      <c r="F7" s="105" t="s">
        <v>2</v>
      </c>
      <c r="G7" s="102" t="s">
        <v>23</v>
      </c>
      <c r="H7" s="103"/>
      <c r="I7" s="104"/>
      <c r="J7" s="105" t="s">
        <v>12</v>
      </c>
      <c r="K7" s="107" t="s">
        <v>106</v>
      </c>
      <c r="L7" s="107" t="s">
        <v>108</v>
      </c>
      <c r="M7" s="105" t="s">
        <v>70</v>
      </c>
      <c r="N7" s="105" t="s">
        <v>118</v>
      </c>
      <c r="O7" s="105" t="s">
        <v>123</v>
      </c>
      <c r="P7" s="105" t="s">
        <v>25</v>
      </c>
      <c r="Q7" s="105" t="s">
        <v>13</v>
      </c>
      <c r="R7" s="105" t="s">
        <v>0</v>
      </c>
    </row>
    <row r="8" spans="1:18" ht="44.25" customHeight="1" x14ac:dyDescent="0.2">
      <c r="A8" s="106"/>
      <c r="B8" s="106"/>
      <c r="C8" s="106"/>
      <c r="D8" s="106"/>
      <c r="E8" s="106"/>
      <c r="F8" s="106"/>
      <c r="G8" s="3" t="s">
        <v>3</v>
      </c>
      <c r="H8" s="3" t="s">
        <v>11</v>
      </c>
      <c r="I8" s="3" t="s">
        <v>88</v>
      </c>
      <c r="J8" s="106"/>
      <c r="K8" s="108"/>
      <c r="L8" s="108"/>
      <c r="M8" s="106"/>
      <c r="N8" s="106"/>
      <c r="O8" s="106"/>
      <c r="P8" s="106"/>
      <c r="Q8" s="106"/>
      <c r="R8" s="106"/>
    </row>
    <row r="9" spans="1:18" ht="15.75" x14ac:dyDescent="0.25">
      <c r="A9" s="1"/>
      <c r="B9" s="1"/>
      <c r="C9" s="1"/>
      <c r="D9" s="55" t="s">
        <v>91</v>
      </c>
      <c r="E9" s="55" t="s">
        <v>91</v>
      </c>
      <c r="F9" s="55" t="s">
        <v>91</v>
      </c>
      <c r="G9" s="55" t="s">
        <v>91</v>
      </c>
      <c r="H9" s="55" t="s">
        <v>91</v>
      </c>
      <c r="I9" s="55" t="s">
        <v>91</v>
      </c>
      <c r="J9" s="55" t="s">
        <v>91</v>
      </c>
      <c r="K9" s="55" t="s">
        <v>91</v>
      </c>
      <c r="L9" s="55" t="s">
        <v>91</v>
      </c>
      <c r="M9" s="55" t="s">
        <v>91</v>
      </c>
      <c r="N9" s="55" t="s">
        <v>91</v>
      </c>
      <c r="O9" s="55" t="s">
        <v>91</v>
      </c>
      <c r="P9" s="55" t="s">
        <v>91</v>
      </c>
      <c r="Q9" s="55" t="s">
        <v>91</v>
      </c>
      <c r="R9" s="1"/>
    </row>
    <row r="10" spans="1:18" ht="18" customHeight="1" x14ac:dyDescent="0.2">
      <c r="A10" s="1">
        <v>1</v>
      </c>
      <c r="B10" s="16" t="s">
        <v>34</v>
      </c>
      <c r="C10" s="15">
        <v>17</v>
      </c>
      <c r="D10" s="4">
        <v>3644043330.1202002</v>
      </c>
      <c r="E10" s="4">
        <v>406303517.68370003</v>
      </c>
      <c r="F10" s="5">
        <f>D10+E10</f>
        <v>4050346847.8039002</v>
      </c>
      <c r="G10" s="6">
        <v>67572423.200000003</v>
      </c>
      <c r="H10" s="6">
        <v>0</v>
      </c>
      <c r="I10" s="4">
        <v>763183431.64489996</v>
      </c>
      <c r="J10" s="7">
        <f>F10-G10-H10-I10</f>
        <v>3219590992.9590006</v>
      </c>
      <c r="K10" s="5">
        <v>16853796.6351</v>
      </c>
      <c r="L10" s="5">
        <v>101296318.80670001</v>
      </c>
      <c r="M10" s="7">
        <v>1469894544.1206999</v>
      </c>
      <c r="N10" s="10">
        <v>0</v>
      </c>
      <c r="O10" s="10">
        <f>M10-N10</f>
        <v>1469894544.1206999</v>
      </c>
      <c r="P10" s="10">
        <f>F10+K10+L10+M10</f>
        <v>5638391507.3663998</v>
      </c>
      <c r="Q10" s="8">
        <f>J10+K10+L10+O10</f>
        <v>4807635652.5215006</v>
      </c>
      <c r="R10" s="1">
        <v>1</v>
      </c>
    </row>
    <row r="11" spans="1:18" ht="18" customHeight="1" x14ac:dyDescent="0.2">
      <c r="A11" s="1">
        <v>2</v>
      </c>
      <c r="B11" s="16" t="s">
        <v>35</v>
      </c>
      <c r="C11" s="13">
        <v>21</v>
      </c>
      <c r="D11" s="4">
        <v>3876635450.2933002</v>
      </c>
      <c r="E11" s="4">
        <v>0</v>
      </c>
      <c r="F11" s="5">
        <f t="shared" ref="F11:F45" si="0">D11+E11</f>
        <v>3876635450.2933002</v>
      </c>
      <c r="G11" s="6">
        <v>82177449.780000001</v>
      </c>
      <c r="H11" s="6">
        <v>0</v>
      </c>
      <c r="I11" s="4">
        <v>497449172.53839999</v>
      </c>
      <c r="J11" s="7">
        <f t="shared" ref="J11:J45" si="1">F11-G11-H11-I11</f>
        <v>3297008827.9748998</v>
      </c>
      <c r="K11" s="5">
        <v>14765181.4716</v>
      </c>
      <c r="L11" s="5">
        <v>107761863.6488</v>
      </c>
      <c r="M11" s="7">
        <v>1527633695.4927001</v>
      </c>
      <c r="N11" s="10">
        <v>0</v>
      </c>
      <c r="O11" s="10">
        <f t="shared" ref="O11:O45" si="2">M11-N11</f>
        <v>1527633695.4927001</v>
      </c>
      <c r="P11" s="10">
        <f t="shared" ref="P11:P46" si="3">F11+K11+L11+M11</f>
        <v>5526796190.9064007</v>
      </c>
      <c r="Q11" s="8">
        <f t="shared" ref="Q11:Q46" si="4">J11+K11+L11+O11</f>
        <v>4947169568.5879993</v>
      </c>
      <c r="R11" s="1">
        <v>2</v>
      </c>
    </row>
    <row r="12" spans="1:18" ht="18" customHeight="1" x14ac:dyDescent="0.2">
      <c r="A12" s="1">
        <v>3</v>
      </c>
      <c r="B12" s="16" t="s">
        <v>36</v>
      </c>
      <c r="C12" s="13">
        <v>31</v>
      </c>
      <c r="D12" s="4">
        <v>3912660718.8720999</v>
      </c>
      <c r="E12" s="4">
        <v>10383651101.336901</v>
      </c>
      <c r="F12" s="5">
        <f t="shared" si="0"/>
        <v>14296311820.209</v>
      </c>
      <c r="G12" s="6">
        <v>44801992.189999998</v>
      </c>
      <c r="H12" s="6">
        <v>0</v>
      </c>
      <c r="I12" s="4">
        <v>1229248563.516</v>
      </c>
      <c r="J12" s="7">
        <f t="shared" si="1"/>
        <v>13022261264.502998</v>
      </c>
      <c r="K12" s="5">
        <v>84176667.934</v>
      </c>
      <c r="L12" s="5">
        <v>108763286.1786</v>
      </c>
      <c r="M12" s="7">
        <v>1660067191.4489999</v>
      </c>
      <c r="N12" s="10">
        <v>0</v>
      </c>
      <c r="O12" s="10">
        <f t="shared" si="2"/>
        <v>1660067191.4489999</v>
      </c>
      <c r="P12" s="10">
        <f t="shared" si="3"/>
        <v>16149318965.770599</v>
      </c>
      <c r="Q12" s="8">
        <f t="shared" si="4"/>
        <v>14875268410.064598</v>
      </c>
      <c r="R12" s="1">
        <v>3</v>
      </c>
    </row>
    <row r="13" spans="1:18" ht="18" customHeight="1" x14ac:dyDescent="0.2">
      <c r="A13" s="1">
        <v>4</v>
      </c>
      <c r="B13" s="16" t="s">
        <v>37</v>
      </c>
      <c r="C13" s="13">
        <v>21</v>
      </c>
      <c r="D13" s="4">
        <v>3869373030.1693001</v>
      </c>
      <c r="E13" s="4">
        <v>0</v>
      </c>
      <c r="F13" s="5">
        <f t="shared" si="0"/>
        <v>3869373030.1693001</v>
      </c>
      <c r="G13" s="6">
        <v>49206305.829999998</v>
      </c>
      <c r="H13" s="6">
        <v>0</v>
      </c>
      <c r="I13" s="4">
        <v>353133724.546</v>
      </c>
      <c r="J13" s="7">
        <f t="shared" si="1"/>
        <v>3467032999.7933002</v>
      </c>
      <c r="K13" s="5">
        <v>14737520.634</v>
      </c>
      <c r="L13" s="5">
        <v>107559984.48379999</v>
      </c>
      <c r="M13" s="7">
        <v>1716653974.6651001</v>
      </c>
      <c r="N13" s="10">
        <v>0</v>
      </c>
      <c r="O13" s="10">
        <f t="shared" si="2"/>
        <v>1716653974.6651001</v>
      </c>
      <c r="P13" s="10">
        <f t="shared" si="3"/>
        <v>5708324509.9521999</v>
      </c>
      <c r="Q13" s="8">
        <f t="shared" si="4"/>
        <v>5305984479.5762005</v>
      </c>
      <c r="R13" s="1">
        <v>4</v>
      </c>
    </row>
    <row r="14" spans="1:18" ht="18" customHeight="1" x14ac:dyDescent="0.2">
      <c r="A14" s="1">
        <v>5</v>
      </c>
      <c r="B14" s="16" t="s">
        <v>38</v>
      </c>
      <c r="C14" s="13">
        <v>20</v>
      </c>
      <c r="D14" s="4">
        <v>4654985394.4975004</v>
      </c>
      <c r="E14" s="4">
        <v>0</v>
      </c>
      <c r="F14" s="5">
        <f t="shared" si="0"/>
        <v>4654985394.4975004</v>
      </c>
      <c r="G14" s="6">
        <v>136554732.87</v>
      </c>
      <c r="H14" s="6">
        <v>201255000</v>
      </c>
      <c r="I14" s="4">
        <v>897645094.80869997</v>
      </c>
      <c r="J14" s="7">
        <f t="shared" si="1"/>
        <v>3419530566.8188004</v>
      </c>
      <c r="K14" s="5">
        <v>17729731.091300003</v>
      </c>
      <c r="L14" s="5">
        <v>129398265.01629999</v>
      </c>
      <c r="M14" s="7">
        <v>1989687337.3866</v>
      </c>
      <c r="N14" s="10">
        <v>0</v>
      </c>
      <c r="O14" s="10">
        <f t="shared" si="2"/>
        <v>1989687337.3866</v>
      </c>
      <c r="P14" s="10">
        <f t="shared" si="3"/>
        <v>6791800727.9917011</v>
      </c>
      <c r="Q14" s="8">
        <f t="shared" si="4"/>
        <v>5556345900.3130007</v>
      </c>
      <c r="R14" s="1">
        <v>5</v>
      </c>
    </row>
    <row r="15" spans="1:18" ht="18" customHeight="1" x14ac:dyDescent="0.2">
      <c r="A15" s="1">
        <v>6</v>
      </c>
      <c r="B15" s="16" t="s">
        <v>39</v>
      </c>
      <c r="C15" s="13">
        <v>8</v>
      </c>
      <c r="D15" s="4">
        <v>3443366094.9759998</v>
      </c>
      <c r="E15" s="4">
        <v>10098149054.2034</v>
      </c>
      <c r="F15" s="5">
        <f t="shared" si="0"/>
        <v>13541515149.179399</v>
      </c>
      <c r="G15" s="6">
        <v>35910172.130000003</v>
      </c>
      <c r="H15" s="6">
        <v>0</v>
      </c>
      <c r="I15" s="4">
        <v>2263208909.5033002</v>
      </c>
      <c r="J15" s="7">
        <f t="shared" si="1"/>
        <v>11242396067.546101</v>
      </c>
      <c r="K15" s="5">
        <v>64613703.216700003</v>
      </c>
      <c r="L15" s="5">
        <v>95717936.952599987</v>
      </c>
      <c r="M15" s="7">
        <v>1307928136.4328001</v>
      </c>
      <c r="N15" s="10">
        <v>0</v>
      </c>
      <c r="O15" s="10">
        <f t="shared" si="2"/>
        <v>1307928136.4328001</v>
      </c>
      <c r="P15" s="10">
        <f t="shared" si="3"/>
        <v>15009774925.7815</v>
      </c>
      <c r="Q15" s="8">
        <f t="shared" si="4"/>
        <v>12710655844.148201</v>
      </c>
      <c r="R15" s="1">
        <v>6</v>
      </c>
    </row>
    <row r="16" spans="1:18" ht="18" customHeight="1" x14ac:dyDescent="0.2">
      <c r="A16" s="1">
        <v>7</v>
      </c>
      <c r="B16" s="16" t="s">
        <v>40</v>
      </c>
      <c r="C16" s="13">
        <v>23</v>
      </c>
      <c r="D16" s="4">
        <v>4364349724.3687</v>
      </c>
      <c r="E16" s="4">
        <v>0</v>
      </c>
      <c r="F16" s="5">
        <f t="shared" si="0"/>
        <v>4364349724.3687</v>
      </c>
      <c r="G16" s="6">
        <v>32909106.25</v>
      </c>
      <c r="H16" s="6">
        <v>103855987.23</v>
      </c>
      <c r="I16" s="4">
        <v>1051303074.6643</v>
      </c>
      <c r="J16" s="7">
        <f t="shared" si="1"/>
        <v>3176281556.2244</v>
      </c>
      <c r="K16" s="5">
        <v>16622769.015700001</v>
      </c>
      <c r="L16" s="5">
        <v>60659619.139200002</v>
      </c>
      <c r="M16" s="7">
        <v>1632016166.7235</v>
      </c>
      <c r="N16" s="10">
        <v>0</v>
      </c>
      <c r="O16" s="10">
        <f t="shared" si="2"/>
        <v>1632016166.7235</v>
      </c>
      <c r="P16" s="10">
        <f t="shared" si="3"/>
        <v>6073648279.2471008</v>
      </c>
      <c r="Q16" s="8">
        <f t="shared" si="4"/>
        <v>4885580111.1028004</v>
      </c>
      <c r="R16" s="1">
        <v>7</v>
      </c>
    </row>
    <row r="17" spans="1:18" ht="18" customHeight="1" x14ac:dyDescent="0.2">
      <c r="A17" s="1">
        <v>8</v>
      </c>
      <c r="B17" s="16" t="s">
        <v>41</v>
      </c>
      <c r="C17" s="13">
        <v>27</v>
      </c>
      <c r="D17" s="4">
        <v>4835074022.1163006</v>
      </c>
      <c r="E17" s="4">
        <v>0</v>
      </c>
      <c r="F17" s="5">
        <f t="shared" si="0"/>
        <v>4835074022.1163006</v>
      </c>
      <c r="G17" s="6">
        <v>24543400.530000001</v>
      </c>
      <c r="H17" s="6">
        <v>0</v>
      </c>
      <c r="I17" s="4">
        <v>538711299.66989994</v>
      </c>
      <c r="J17" s="7">
        <f t="shared" si="1"/>
        <v>4271819321.9164009</v>
      </c>
      <c r="K17" s="5">
        <v>18415645.800100002</v>
      </c>
      <c r="L17" s="5">
        <v>134404329.26539999</v>
      </c>
      <c r="M17" s="7">
        <v>1648280492.1238999</v>
      </c>
      <c r="N17" s="10">
        <v>0</v>
      </c>
      <c r="O17" s="10">
        <f t="shared" si="2"/>
        <v>1648280492.1238999</v>
      </c>
      <c r="P17" s="10">
        <f t="shared" si="3"/>
        <v>6636174489.3057003</v>
      </c>
      <c r="Q17" s="8">
        <f t="shared" si="4"/>
        <v>6072919789.1058006</v>
      </c>
      <c r="R17" s="1">
        <v>8</v>
      </c>
    </row>
    <row r="18" spans="1:18" ht="18" customHeight="1" x14ac:dyDescent="0.2">
      <c r="A18" s="1">
        <v>9</v>
      </c>
      <c r="B18" s="16" t="s">
        <v>42</v>
      </c>
      <c r="C18" s="13">
        <v>18</v>
      </c>
      <c r="D18" s="4">
        <v>3913327989.3806996</v>
      </c>
      <c r="E18" s="4">
        <v>0</v>
      </c>
      <c r="F18" s="5">
        <f t="shared" si="0"/>
        <v>3913327989.3806996</v>
      </c>
      <c r="G18" s="6">
        <v>221816087.66999999</v>
      </c>
      <c r="H18" s="6">
        <v>633134951.91999996</v>
      </c>
      <c r="I18" s="4">
        <v>807780675.42550004</v>
      </c>
      <c r="J18" s="7">
        <f t="shared" si="1"/>
        <v>2250596274.3651996</v>
      </c>
      <c r="K18" s="5">
        <v>14904934.614500001</v>
      </c>
      <c r="L18" s="5">
        <v>108781834.81830001</v>
      </c>
      <c r="M18" s="7">
        <v>1426877337.2867999</v>
      </c>
      <c r="N18" s="10">
        <v>0</v>
      </c>
      <c r="O18" s="10">
        <f t="shared" si="2"/>
        <v>1426877337.2867999</v>
      </c>
      <c r="P18" s="10">
        <f t="shared" si="3"/>
        <v>5463892096.1002998</v>
      </c>
      <c r="Q18" s="8">
        <f t="shared" si="4"/>
        <v>3801160381.0847993</v>
      </c>
      <c r="R18" s="1">
        <v>9</v>
      </c>
    </row>
    <row r="19" spans="1:18" ht="18" customHeight="1" x14ac:dyDescent="0.2">
      <c r="A19" s="1">
        <v>10</v>
      </c>
      <c r="B19" s="16" t="s">
        <v>43</v>
      </c>
      <c r="C19" s="13">
        <v>25</v>
      </c>
      <c r="D19" s="4">
        <v>3951369331.1197</v>
      </c>
      <c r="E19" s="4">
        <v>15564649838.491501</v>
      </c>
      <c r="F19" s="5">
        <f t="shared" si="0"/>
        <v>19516019169.611202</v>
      </c>
      <c r="G19" s="6">
        <v>26519863.5</v>
      </c>
      <c r="H19" s="6">
        <v>0</v>
      </c>
      <c r="I19" s="4">
        <v>1566760715.3453</v>
      </c>
      <c r="J19" s="7">
        <f t="shared" si="1"/>
        <v>17922738590.765903</v>
      </c>
      <c r="K19" s="5">
        <v>113943814.25470001</v>
      </c>
      <c r="L19" s="5">
        <v>109839299.7086</v>
      </c>
      <c r="M19" s="7">
        <v>1834153588.0155001</v>
      </c>
      <c r="N19" s="10">
        <v>0</v>
      </c>
      <c r="O19" s="10">
        <f t="shared" si="2"/>
        <v>1834153588.0155001</v>
      </c>
      <c r="P19" s="10">
        <f t="shared" si="3"/>
        <v>21573955871.59</v>
      </c>
      <c r="Q19" s="8">
        <f t="shared" si="4"/>
        <v>19980675292.744701</v>
      </c>
      <c r="R19" s="1">
        <v>10</v>
      </c>
    </row>
    <row r="20" spans="1:18" ht="18" customHeight="1" x14ac:dyDescent="0.2">
      <c r="A20" s="1">
        <v>11</v>
      </c>
      <c r="B20" s="16" t="s">
        <v>44</v>
      </c>
      <c r="C20" s="13">
        <v>13</v>
      </c>
      <c r="D20" s="4">
        <v>3481598063.9245</v>
      </c>
      <c r="E20" s="4">
        <v>0</v>
      </c>
      <c r="F20" s="5">
        <f t="shared" si="0"/>
        <v>3481598063.9245</v>
      </c>
      <c r="G20" s="6">
        <v>41682938.469999999</v>
      </c>
      <c r="H20" s="6">
        <v>0</v>
      </c>
      <c r="I20" s="4">
        <v>462476168.8369</v>
      </c>
      <c r="J20" s="7">
        <f t="shared" si="1"/>
        <v>2977438956.6176004</v>
      </c>
      <c r="K20" s="5">
        <v>13260578.1108</v>
      </c>
      <c r="L20" s="5">
        <v>96780700.856300011</v>
      </c>
      <c r="M20" s="7">
        <v>1403244451.1127999</v>
      </c>
      <c r="N20" s="10">
        <v>0</v>
      </c>
      <c r="O20" s="10">
        <f t="shared" si="2"/>
        <v>1403244451.1127999</v>
      </c>
      <c r="P20" s="10">
        <f t="shared" si="3"/>
        <v>4994883794.0043993</v>
      </c>
      <c r="Q20" s="8">
        <f t="shared" si="4"/>
        <v>4490724686.6975002</v>
      </c>
      <c r="R20" s="1">
        <v>11</v>
      </c>
    </row>
    <row r="21" spans="1:18" ht="18" customHeight="1" x14ac:dyDescent="0.2">
      <c r="A21" s="1">
        <v>12</v>
      </c>
      <c r="B21" s="16" t="s">
        <v>45</v>
      </c>
      <c r="C21" s="13">
        <v>18</v>
      </c>
      <c r="D21" s="4">
        <v>3638827970.4705</v>
      </c>
      <c r="E21" s="4">
        <v>1957121652.3152001</v>
      </c>
      <c r="F21" s="5">
        <f t="shared" si="0"/>
        <v>5595949622.7856998</v>
      </c>
      <c r="G21" s="6">
        <v>91028172.920000002</v>
      </c>
      <c r="H21" s="6">
        <v>0</v>
      </c>
      <c r="I21" s="4">
        <v>740208318.37329996</v>
      </c>
      <c r="J21" s="7">
        <f t="shared" si="1"/>
        <v>4764713131.4924002</v>
      </c>
      <c r="K21" s="5">
        <v>22956705.266700003</v>
      </c>
      <c r="L21" s="5">
        <v>101151343.3809</v>
      </c>
      <c r="M21" s="7">
        <v>1659244292.7175</v>
      </c>
      <c r="N21" s="10">
        <v>0</v>
      </c>
      <c r="O21" s="10">
        <f t="shared" si="2"/>
        <v>1659244292.7175</v>
      </c>
      <c r="P21" s="10">
        <f t="shared" si="3"/>
        <v>7379301964.1507998</v>
      </c>
      <c r="Q21" s="8">
        <f t="shared" si="4"/>
        <v>6548065472.8575001</v>
      </c>
      <c r="R21" s="1">
        <v>12</v>
      </c>
    </row>
    <row r="22" spans="1:18" ht="18" customHeight="1" x14ac:dyDescent="0.2">
      <c r="A22" s="1">
        <v>13</v>
      </c>
      <c r="B22" s="16" t="s">
        <v>46</v>
      </c>
      <c r="C22" s="13">
        <v>16</v>
      </c>
      <c r="D22" s="4">
        <v>3479633418.4267998</v>
      </c>
      <c r="E22" s="4">
        <v>0</v>
      </c>
      <c r="F22" s="5">
        <f t="shared" si="0"/>
        <v>3479633418.4267998</v>
      </c>
      <c r="G22" s="6">
        <v>99000874.819999993</v>
      </c>
      <c r="H22" s="6">
        <v>491490204.30000001</v>
      </c>
      <c r="I22" s="4">
        <v>631297069.74150002</v>
      </c>
      <c r="J22" s="7">
        <f t="shared" si="1"/>
        <v>2257845269.5652995</v>
      </c>
      <c r="K22" s="5">
        <v>13253095.248499999</v>
      </c>
      <c r="L22" s="5">
        <v>96726088.070999995</v>
      </c>
      <c r="M22" s="7">
        <v>1459487376.9291</v>
      </c>
      <c r="N22" s="10">
        <v>0</v>
      </c>
      <c r="O22" s="10">
        <f t="shared" si="2"/>
        <v>1459487376.9291</v>
      </c>
      <c r="P22" s="10">
        <f t="shared" si="3"/>
        <v>5049099978.6753998</v>
      </c>
      <c r="Q22" s="8">
        <f t="shared" si="4"/>
        <v>3827311829.8138995</v>
      </c>
      <c r="R22" s="1">
        <v>13</v>
      </c>
    </row>
    <row r="23" spans="1:18" ht="18" customHeight="1" x14ac:dyDescent="0.2">
      <c r="A23" s="1">
        <v>14</v>
      </c>
      <c r="B23" s="16" t="s">
        <v>47</v>
      </c>
      <c r="C23" s="13">
        <v>17</v>
      </c>
      <c r="D23" s="4">
        <v>3913665736.0079002</v>
      </c>
      <c r="E23" s="4">
        <v>0</v>
      </c>
      <c r="F23" s="5">
        <f t="shared" si="0"/>
        <v>3913665736.0079002</v>
      </c>
      <c r="G23" s="6">
        <v>97607572.599999994</v>
      </c>
      <c r="H23" s="6">
        <v>0</v>
      </c>
      <c r="I23" s="4">
        <v>362566083.88880002</v>
      </c>
      <c r="J23" s="7">
        <f t="shared" si="1"/>
        <v>3453492079.5191002</v>
      </c>
      <c r="K23" s="5">
        <v>14906221.0112</v>
      </c>
      <c r="L23" s="5">
        <v>108791223.4252</v>
      </c>
      <c r="M23" s="7">
        <v>1542753641.2432001</v>
      </c>
      <c r="N23" s="10">
        <v>0</v>
      </c>
      <c r="O23" s="10">
        <f t="shared" si="2"/>
        <v>1542753641.2432001</v>
      </c>
      <c r="P23" s="10">
        <f t="shared" si="3"/>
        <v>5580116821.6875</v>
      </c>
      <c r="Q23" s="8">
        <f t="shared" si="4"/>
        <v>5119943165.1987</v>
      </c>
      <c r="R23" s="1">
        <v>14</v>
      </c>
    </row>
    <row r="24" spans="1:18" ht="18" customHeight="1" x14ac:dyDescent="0.2">
      <c r="A24" s="1">
        <v>15</v>
      </c>
      <c r="B24" s="16" t="s">
        <v>48</v>
      </c>
      <c r="C24" s="13">
        <v>11</v>
      </c>
      <c r="D24" s="4">
        <v>3665577783.5480003</v>
      </c>
      <c r="E24" s="4">
        <v>0</v>
      </c>
      <c r="F24" s="5">
        <f t="shared" si="0"/>
        <v>3665577783.5480003</v>
      </c>
      <c r="G24" s="6">
        <v>57175560.829999998</v>
      </c>
      <c r="H24" s="6">
        <v>526362473.37</v>
      </c>
      <c r="I24" s="4">
        <v>318115619.00709999</v>
      </c>
      <c r="J24" s="7">
        <f t="shared" si="1"/>
        <v>2763924130.3409004</v>
      </c>
      <c r="K24" s="5">
        <v>13961313.062899999</v>
      </c>
      <c r="L24" s="5">
        <v>101894928.8292</v>
      </c>
      <c r="M24" s="7">
        <v>1362390743.3283999</v>
      </c>
      <c r="N24" s="10">
        <v>0</v>
      </c>
      <c r="O24" s="10">
        <f t="shared" si="2"/>
        <v>1362390743.3283999</v>
      </c>
      <c r="P24" s="10">
        <f t="shared" si="3"/>
        <v>5143824768.7685003</v>
      </c>
      <c r="Q24" s="8">
        <f t="shared" si="4"/>
        <v>4242171115.5614004</v>
      </c>
      <c r="R24" s="1">
        <v>15</v>
      </c>
    </row>
    <row r="25" spans="1:18" ht="18" customHeight="1" x14ac:dyDescent="0.2">
      <c r="A25" s="1">
        <v>16</v>
      </c>
      <c r="B25" s="16" t="s">
        <v>49</v>
      </c>
      <c r="C25" s="13">
        <v>27</v>
      </c>
      <c r="D25" s="4">
        <v>4046154165.8806</v>
      </c>
      <c r="E25" s="4">
        <v>1095056027.4772</v>
      </c>
      <c r="F25" s="5">
        <f t="shared" si="0"/>
        <v>5141210193.3577995</v>
      </c>
      <c r="G25" s="6">
        <v>55600505.689999998</v>
      </c>
      <c r="H25" s="6">
        <v>0</v>
      </c>
      <c r="I25" s="4">
        <v>1011944455.2848001</v>
      </c>
      <c r="J25" s="7">
        <f t="shared" si="1"/>
        <v>4073665232.3829999</v>
      </c>
      <c r="K25" s="5">
        <v>23085492.7852</v>
      </c>
      <c r="L25" s="5">
        <v>112474107.7969</v>
      </c>
      <c r="M25" s="7">
        <v>1587172469.4963</v>
      </c>
      <c r="N25" s="10">
        <v>0</v>
      </c>
      <c r="O25" s="10">
        <f t="shared" si="2"/>
        <v>1587172469.4963</v>
      </c>
      <c r="P25" s="10">
        <f t="shared" si="3"/>
        <v>6863942263.4361992</v>
      </c>
      <c r="Q25" s="8">
        <f t="shared" si="4"/>
        <v>5796397302.4614</v>
      </c>
      <c r="R25" s="1">
        <v>16</v>
      </c>
    </row>
    <row r="26" spans="1:18" ht="18" customHeight="1" x14ac:dyDescent="0.2">
      <c r="A26" s="1">
        <v>17</v>
      </c>
      <c r="B26" s="16" t="s">
        <v>50</v>
      </c>
      <c r="C26" s="13">
        <v>27</v>
      </c>
      <c r="D26" s="4">
        <v>4352014143.6968002</v>
      </c>
      <c r="E26" s="4">
        <v>0</v>
      </c>
      <c r="F26" s="5">
        <f t="shared" si="0"/>
        <v>4352014143.6968002</v>
      </c>
      <c r="G26" s="6">
        <v>35446402.5</v>
      </c>
      <c r="H26" s="6">
        <v>0</v>
      </c>
      <c r="I26" s="4">
        <v>319367551.05870003</v>
      </c>
      <c r="J26" s="7">
        <f t="shared" si="1"/>
        <v>3997200190.1381001</v>
      </c>
      <c r="K26" s="5">
        <v>16575785.731299998</v>
      </c>
      <c r="L26" s="5">
        <v>120976336.5072</v>
      </c>
      <c r="M26" s="7">
        <v>1714893272.381</v>
      </c>
      <c r="N26" s="10">
        <v>0</v>
      </c>
      <c r="O26" s="10">
        <f t="shared" si="2"/>
        <v>1714893272.381</v>
      </c>
      <c r="P26" s="10">
        <f t="shared" si="3"/>
        <v>6204459538.3163013</v>
      </c>
      <c r="Q26" s="8">
        <f t="shared" si="4"/>
        <v>5849645584.7576008</v>
      </c>
      <c r="R26" s="1">
        <v>17</v>
      </c>
    </row>
    <row r="27" spans="1:18" ht="18" customHeight="1" x14ac:dyDescent="0.2">
      <c r="A27" s="1">
        <v>18</v>
      </c>
      <c r="B27" s="16" t="s">
        <v>51</v>
      </c>
      <c r="C27" s="13">
        <v>23</v>
      </c>
      <c r="D27" s="4">
        <v>5098890754.0270004</v>
      </c>
      <c r="E27" s="4">
        <v>0</v>
      </c>
      <c r="F27" s="5">
        <f t="shared" si="0"/>
        <v>5098890754.0270004</v>
      </c>
      <c r="G27" s="6">
        <v>499421870.93000001</v>
      </c>
      <c r="H27" s="6">
        <v>0</v>
      </c>
      <c r="I27" s="4">
        <v>359477651.48930001</v>
      </c>
      <c r="J27" s="7">
        <f t="shared" si="1"/>
        <v>4239991231.6077003</v>
      </c>
      <c r="K27" s="5">
        <v>19420460.920700002</v>
      </c>
      <c r="L27" s="5">
        <v>141737849.0293</v>
      </c>
      <c r="M27" s="7">
        <v>2449918623.3413</v>
      </c>
      <c r="N27" s="10">
        <v>0</v>
      </c>
      <c r="O27" s="10">
        <f t="shared" si="2"/>
        <v>2449918623.3413</v>
      </c>
      <c r="P27" s="10">
        <f t="shared" si="3"/>
        <v>7709967687.3183002</v>
      </c>
      <c r="Q27" s="8">
        <f t="shared" si="4"/>
        <v>6851068164.8990002</v>
      </c>
      <c r="R27" s="1">
        <v>18</v>
      </c>
    </row>
    <row r="28" spans="1:18" ht="18" customHeight="1" x14ac:dyDescent="0.2">
      <c r="A28" s="1">
        <v>19</v>
      </c>
      <c r="B28" s="16" t="s">
        <v>52</v>
      </c>
      <c r="C28" s="13">
        <v>44</v>
      </c>
      <c r="D28" s="4">
        <v>6172774916.6351004</v>
      </c>
      <c r="E28" s="4">
        <v>0</v>
      </c>
      <c r="F28" s="5">
        <f t="shared" si="0"/>
        <v>6172774916.6351004</v>
      </c>
      <c r="G28" s="6">
        <v>88827869.689999998</v>
      </c>
      <c r="H28" s="6">
        <v>585230380</v>
      </c>
      <c r="I28" s="4">
        <v>957055453.64049995</v>
      </c>
      <c r="J28" s="7">
        <f t="shared" si="1"/>
        <v>4541661213.3046007</v>
      </c>
      <c r="K28" s="5">
        <v>23510630.019500002</v>
      </c>
      <c r="L28" s="5">
        <v>171589445.9073</v>
      </c>
      <c r="M28" s="7">
        <v>3029290903.1687002</v>
      </c>
      <c r="N28" s="10">
        <v>0</v>
      </c>
      <c r="O28" s="10">
        <f t="shared" si="2"/>
        <v>3029290903.1687002</v>
      </c>
      <c r="P28" s="10">
        <f t="shared" si="3"/>
        <v>9397165895.7306004</v>
      </c>
      <c r="Q28" s="8">
        <f t="shared" si="4"/>
        <v>7766052192.4001007</v>
      </c>
      <c r="R28" s="1">
        <v>19</v>
      </c>
    </row>
    <row r="29" spans="1:18" ht="18" customHeight="1" x14ac:dyDescent="0.2">
      <c r="A29" s="1">
        <v>20</v>
      </c>
      <c r="B29" s="16" t="s">
        <v>53</v>
      </c>
      <c r="C29" s="13">
        <v>34</v>
      </c>
      <c r="D29" s="4">
        <v>4783724883.5079002</v>
      </c>
      <c r="E29" s="4">
        <v>0</v>
      </c>
      <c r="F29" s="5">
        <f t="shared" si="0"/>
        <v>4783724883.5079002</v>
      </c>
      <c r="G29" s="6">
        <v>131780920.95999999</v>
      </c>
      <c r="H29" s="6">
        <v>0</v>
      </c>
      <c r="I29" s="4">
        <v>405527647.92129999</v>
      </c>
      <c r="J29" s="7">
        <f t="shared" si="1"/>
        <v>4246416314.6266003</v>
      </c>
      <c r="K29" s="5">
        <v>18220069.1587</v>
      </c>
      <c r="L29" s="5">
        <v>132976937.1507</v>
      </c>
      <c r="M29" s="7">
        <v>1905405473.3666</v>
      </c>
      <c r="N29" s="10">
        <v>0</v>
      </c>
      <c r="O29" s="10">
        <f t="shared" si="2"/>
        <v>1905405473.3666</v>
      </c>
      <c r="P29" s="10">
        <f t="shared" si="3"/>
        <v>6840327363.1838999</v>
      </c>
      <c r="Q29" s="8">
        <f t="shared" si="4"/>
        <v>6303018794.3025999</v>
      </c>
      <c r="R29" s="1">
        <v>20</v>
      </c>
    </row>
    <row r="30" spans="1:18" ht="18" customHeight="1" x14ac:dyDescent="0.2">
      <c r="A30" s="1">
        <v>21</v>
      </c>
      <c r="B30" s="16" t="s">
        <v>54</v>
      </c>
      <c r="C30" s="13">
        <v>21</v>
      </c>
      <c r="D30" s="4">
        <v>4109243541.1775002</v>
      </c>
      <c r="E30" s="4">
        <v>0</v>
      </c>
      <c r="F30" s="5">
        <f t="shared" si="0"/>
        <v>4109243541.1775002</v>
      </c>
      <c r="G30" s="6">
        <v>60837586.390000001</v>
      </c>
      <c r="H30" s="6">
        <v>0</v>
      </c>
      <c r="I30" s="4">
        <v>347123228.8161</v>
      </c>
      <c r="J30" s="7">
        <f t="shared" si="1"/>
        <v>3701282725.9714003</v>
      </c>
      <c r="K30" s="5">
        <v>15651130.303900002</v>
      </c>
      <c r="L30" s="5">
        <v>57113926.2205</v>
      </c>
      <c r="M30" s="7">
        <v>1486390029.8612001</v>
      </c>
      <c r="N30" s="10">
        <v>0</v>
      </c>
      <c r="O30" s="10">
        <f t="shared" si="2"/>
        <v>1486390029.8612001</v>
      </c>
      <c r="P30" s="10">
        <f t="shared" si="3"/>
        <v>5668398627.5630999</v>
      </c>
      <c r="Q30" s="8">
        <f t="shared" si="4"/>
        <v>5260437812.3570004</v>
      </c>
      <c r="R30" s="1">
        <v>21</v>
      </c>
    </row>
    <row r="31" spans="1:18" ht="18" customHeight="1" x14ac:dyDescent="0.2">
      <c r="A31" s="1">
        <v>22</v>
      </c>
      <c r="B31" s="16" t="s">
        <v>55</v>
      </c>
      <c r="C31" s="13">
        <v>21</v>
      </c>
      <c r="D31" s="4">
        <v>4301137446.4138994</v>
      </c>
      <c r="E31" s="4">
        <v>0</v>
      </c>
      <c r="F31" s="5">
        <f t="shared" si="0"/>
        <v>4301137446.4138994</v>
      </c>
      <c r="G31" s="6">
        <v>46707847.82</v>
      </c>
      <c r="H31" s="6">
        <v>117593824.09999999</v>
      </c>
      <c r="I31" s="4">
        <v>851810722.35000002</v>
      </c>
      <c r="J31" s="7">
        <f t="shared" si="1"/>
        <v>3285025052.1438994</v>
      </c>
      <c r="K31" s="5">
        <v>16382008.500000002</v>
      </c>
      <c r="L31" s="5">
        <v>59781038.6065</v>
      </c>
      <c r="M31" s="7">
        <v>1559132705.1301999</v>
      </c>
      <c r="N31" s="10">
        <v>0</v>
      </c>
      <c r="O31" s="10">
        <f t="shared" si="2"/>
        <v>1559132705.1301999</v>
      </c>
      <c r="P31" s="10">
        <f t="shared" si="3"/>
        <v>5936433198.6505985</v>
      </c>
      <c r="Q31" s="8">
        <f t="shared" si="4"/>
        <v>4920320804.3806</v>
      </c>
      <c r="R31" s="1">
        <v>22</v>
      </c>
    </row>
    <row r="32" spans="1:18" ht="18" customHeight="1" x14ac:dyDescent="0.2">
      <c r="A32" s="1">
        <v>23</v>
      </c>
      <c r="B32" s="16" t="s">
        <v>56</v>
      </c>
      <c r="C32" s="13">
        <v>16</v>
      </c>
      <c r="D32" s="4">
        <v>3464119867.8739996</v>
      </c>
      <c r="E32" s="4">
        <v>0</v>
      </c>
      <c r="F32" s="5">
        <f t="shared" si="0"/>
        <v>3464119867.8739996</v>
      </c>
      <c r="G32" s="6">
        <v>45348106.890000001</v>
      </c>
      <c r="H32" s="6">
        <v>0</v>
      </c>
      <c r="I32" s="4">
        <v>531420204.88440001</v>
      </c>
      <c r="J32" s="7">
        <f t="shared" si="1"/>
        <v>2887351556.0995998</v>
      </c>
      <c r="K32" s="5">
        <v>13194007.8256</v>
      </c>
      <c r="L32" s="5">
        <v>48147422.894299999</v>
      </c>
      <c r="M32" s="7">
        <v>1412643896.3996</v>
      </c>
      <c r="N32" s="10">
        <v>0</v>
      </c>
      <c r="O32" s="10">
        <f t="shared" si="2"/>
        <v>1412643896.3996</v>
      </c>
      <c r="P32" s="10">
        <f t="shared" si="3"/>
        <v>4938105194.9934998</v>
      </c>
      <c r="Q32" s="8">
        <f t="shared" si="4"/>
        <v>4361336883.2191</v>
      </c>
      <c r="R32" s="1">
        <v>23</v>
      </c>
    </row>
    <row r="33" spans="1:18" ht="18" customHeight="1" x14ac:dyDescent="0.2">
      <c r="A33" s="1">
        <v>24</v>
      </c>
      <c r="B33" s="16" t="s">
        <v>57</v>
      </c>
      <c r="C33" s="13">
        <v>20</v>
      </c>
      <c r="D33" s="4">
        <v>5213308863.0303993</v>
      </c>
      <c r="E33" s="4">
        <v>3784242004</v>
      </c>
      <c r="F33" s="5">
        <f>D33+E33</f>
        <v>8997550867.0303993</v>
      </c>
      <c r="G33" s="6">
        <v>1624033480.1500001</v>
      </c>
      <c r="H33" s="6">
        <v>2000000000</v>
      </c>
      <c r="I33" s="4">
        <v>1326665.037</v>
      </c>
      <c r="J33" s="7">
        <f t="shared" si="1"/>
        <v>5372190721.8434</v>
      </c>
      <c r="K33" s="5">
        <v>19856252.252999999</v>
      </c>
      <c r="L33" s="5">
        <v>144918418.57710001</v>
      </c>
      <c r="M33" s="7">
        <v>9873542844.4351006</v>
      </c>
      <c r="N33" s="10">
        <v>1000000000</v>
      </c>
      <c r="O33" s="10">
        <f t="shared" si="2"/>
        <v>8873542844.4351006</v>
      </c>
      <c r="P33" s="10">
        <f t="shared" si="3"/>
        <v>19035868382.295601</v>
      </c>
      <c r="Q33" s="8">
        <f t="shared" si="4"/>
        <v>14410508237.108601</v>
      </c>
      <c r="R33" s="1">
        <v>24</v>
      </c>
    </row>
    <row r="34" spans="1:18" ht="18" customHeight="1" x14ac:dyDescent="0.2">
      <c r="A34" s="1">
        <v>25</v>
      </c>
      <c r="B34" s="16" t="s">
        <v>58</v>
      </c>
      <c r="C34" s="13">
        <v>13</v>
      </c>
      <c r="D34" s="4">
        <v>3588835626.6615</v>
      </c>
      <c r="E34" s="4">
        <v>0</v>
      </c>
      <c r="F34" s="5">
        <f t="shared" si="0"/>
        <v>3588835626.6615</v>
      </c>
      <c r="G34" s="6">
        <v>34204952.520000003</v>
      </c>
      <c r="H34" s="6">
        <v>124722672.83</v>
      </c>
      <c r="I34" s="4">
        <v>280367560.67040002</v>
      </c>
      <c r="J34" s="7">
        <f t="shared" si="1"/>
        <v>3149540440.6410999</v>
      </c>
      <c r="K34" s="5">
        <v>13669020.4596</v>
      </c>
      <c r="L34" s="5">
        <v>99761667.151000008</v>
      </c>
      <c r="M34" s="7">
        <v>1336488755.5318999</v>
      </c>
      <c r="N34" s="10">
        <v>0</v>
      </c>
      <c r="O34" s="10">
        <f t="shared" si="2"/>
        <v>1336488755.5318999</v>
      </c>
      <c r="P34" s="10">
        <f t="shared" si="3"/>
        <v>5038755069.8039999</v>
      </c>
      <c r="Q34" s="8">
        <f t="shared" si="4"/>
        <v>4599459883.7835999</v>
      </c>
      <c r="R34" s="1">
        <v>25</v>
      </c>
    </row>
    <row r="35" spans="1:18" ht="18" customHeight="1" x14ac:dyDescent="0.2">
      <c r="A35" s="1">
        <v>26</v>
      </c>
      <c r="B35" s="16" t="s">
        <v>59</v>
      </c>
      <c r="C35" s="13">
        <v>25</v>
      </c>
      <c r="D35" s="4">
        <v>4609699573.0688</v>
      </c>
      <c r="E35" s="4">
        <v>0</v>
      </c>
      <c r="F35" s="5">
        <f t="shared" si="0"/>
        <v>4609699573.0688</v>
      </c>
      <c r="G35" s="6">
        <v>71360609.75</v>
      </c>
      <c r="H35" s="6">
        <v>217827441</v>
      </c>
      <c r="I35" s="4">
        <v>395631763.68889999</v>
      </c>
      <c r="J35" s="7">
        <f t="shared" si="1"/>
        <v>3924879758.6299</v>
      </c>
      <c r="K35" s="5">
        <v>17557248.1811</v>
      </c>
      <c r="L35" s="5">
        <v>64069709.832699999</v>
      </c>
      <c r="M35" s="7">
        <v>1618963918.2862999</v>
      </c>
      <c r="N35" s="10">
        <v>0</v>
      </c>
      <c r="O35" s="10">
        <f t="shared" si="2"/>
        <v>1618963918.2862999</v>
      </c>
      <c r="P35" s="10">
        <f t="shared" si="3"/>
        <v>6310290449.3688993</v>
      </c>
      <c r="Q35" s="8">
        <f t="shared" si="4"/>
        <v>5625470634.9299994</v>
      </c>
      <c r="R35" s="1">
        <v>26</v>
      </c>
    </row>
    <row r="36" spans="1:18" ht="18" customHeight="1" x14ac:dyDescent="0.2">
      <c r="A36" s="1">
        <v>27</v>
      </c>
      <c r="B36" s="16" t="s">
        <v>60</v>
      </c>
      <c r="C36" s="13">
        <v>20</v>
      </c>
      <c r="D36" s="4">
        <v>3615489915.1929998</v>
      </c>
      <c r="E36" s="4">
        <v>0</v>
      </c>
      <c r="F36" s="5">
        <f t="shared" si="0"/>
        <v>3615489915.1929998</v>
      </c>
      <c r="G36" s="6">
        <v>115070808.52</v>
      </c>
      <c r="H36" s="6">
        <v>0</v>
      </c>
      <c r="I36" s="4">
        <v>1289397375.3491001</v>
      </c>
      <c r="J36" s="7">
        <f t="shared" si="1"/>
        <v>2211021731.3238997</v>
      </c>
      <c r="K36" s="5">
        <v>13770540.300899999</v>
      </c>
      <c r="L36" s="5">
        <v>100502597.2291</v>
      </c>
      <c r="M36" s="7">
        <v>1690591028.4556999</v>
      </c>
      <c r="N36" s="10">
        <v>0</v>
      </c>
      <c r="O36" s="10">
        <f t="shared" si="2"/>
        <v>1690591028.4556999</v>
      </c>
      <c r="P36" s="10">
        <f t="shared" si="3"/>
        <v>5420354081.1786995</v>
      </c>
      <c r="Q36" s="8">
        <f t="shared" si="4"/>
        <v>4015885897.3095999</v>
      </c>
      <c r="R36" s="1">
        <v>27</v>
      </c>
    </row>
    <row r="37" spans="1:18" ht="18" customHeight="1" x14ac:dyDescent="0.2">
      <c r="A37" s="1">
        <v>28</v>
      </c>
      <c r="B37" s="16" t="s">
        <v>61</v>
      </c>
      <c r="C37" s="13">
        <v>18</v>
      </c>
      <c r="D37" s="4">
        <v>3622652605.6261001</v>
      </c>
      <c r="E37" s="4">
        <v>1274713277.7962</v>
      </c>
      <c r="F37" s="5">
        <f t="shared" si="0"/>
        <v>4897365883.4223003</v>
      </c>
      <c r="G37" s="6">
        <v>84587125.640000001</v>
      </c>
      <c r="H37" s="6">
        <v>951959613.62</v>
      </c>
      <c r="I37" s="4">
        <v>484258527.5923</v>
      </c>
      <c r="J37" s="7">
        <f t="shared" si="1"/>
        <v>3376560616.5700002</v>
      </c>
      <c r="K37" s="5">
        <v>21959101.657700002</v>
      </c>
      <c r="L37" s="5">
        <v>100701704.1296</v>
      </c>
      <c r="M37" s="7">
        <v>1587341799.3013999</v>
      </c>
      <c r="N37" s="10">
        <v>0</v>
      </c>
      <c r="O37" s="10">
        <f t="shared" si="2"/>
        <v>1587341799.3013999</v>
      </c>
      <c r="P37" s="10">
        <f t="shared" si="3"/>
        <v>6607368488.5109997</v>
      </c>
      <c r="Q37" s="8">
        <f t="shared" si="4"/>
        <v>5086563221.6587</v>
      </c>
      <c r="R37" s="1">
        <v>28</v>
      </c>
    </row>
    <row r="38" spans="1:18" ht="18" customHeight="1" x14ac:dyDescent="0.2">
      <c r="A38" s="1">
        <v>29</v>
      </c>
      <c r="B38" s="16" t="s">
        <v>62</v>
      </c>
      <c r="C38" s="13">
        <v>30</v>
      </c>
      <c r="D38" s="4">
        <v>3549210798.6041999</v>
      </c>
      <c r="E38" s="4">
        <v>0</v>
      </c>
      <c r="F38" s="5">
        <f t="shared" si="0"/>
        <v>3549210798.6041999</v>
      </c>
      <c r="G38" s="6">
        <v>161618795.03999999</v>
      </c>
      <c r="H38" s="6">
        <v>0</v>
      </c>
      <c r="I38" s="4">
        <v>1631106588.2249</v>
      </c>
      <c r="J38" s="7">
        <f t="shared" si="1"/>
        <v>1756485415.3392999</v>
      </c>
      <c r="K38" s="5">
        <v>13518098.925099999</v>
      </c>
      <c r="L38" s="5">
        <v>98660184.854699999</v>
      </c>
      <c r="M38" s="7">
        <v>1535844274.8824999</v>
      </c>
      <c r="N38" s="10">
        <v>0</v>
      </c>
      <c r="O38" s="10">
        <f t="shared" si="2"/>
        <v>1535844274.8824999</v>
      </c>
      <c r="P38" s="10">
        <f t="shared" si="3"/>
        <v>5197233357.2664995</v>
      </c>
      <c r="Q38" s="8">
        <f t="shared" si="4"/>
        <v>3404507974.0016003</v>
      </c>
      <c r="R38" s="1">
        <v>29</v>
      </c>
    </row>
    <row r="39" spans="1:18" ht="18" customHeight="1" x14ac:dyDescent="0.2">
      <c r="A39" s="1">
        <v>30</v>
      </c>
      <c r="B39" s="16" t="s">
        <v>63</v>
      </c>
      <c r="C39" s="13">
        <v>33</v>
      </c>
      <c r="D39" s="4">
        <v>4364831933.0398998</v>
      </c>
      <c r="E39" s="4">
        <v>0</v>
      </c>
      <c r="F39" s="5">
        <f t="shared" si="0"/>
        <v>4364831933.0398998</v>
      </c>
      <c r="G39" s="6">
        <v>359936332.60000002</v>
      </c>
      <c r="H39" s="6">
        <v>0</v>
      </c>
      <c r="I39" s="4">
        <v>895622059.24450004</v>
      </c>
      <c r="J39" s="7">
        <f t="shared" si="1"/>
        <v>3109273541.1953998</v>
      </c>
      <c r="K39" s="5">
        <v>16624605.635499999</v>
      </c>
      <c r="L39" s="5">
        <v>121332642.6094</v>
      </c>
      <c r="M39" s="7">
        <v>2785638412.0303001</v>
      </c>
      <c r="N39" s="10">
        <v>0</v>
      </c>
      <c r="O39" s="10">
        <f t="shared" si="2"/>
        <v>2785638412.0303001</v>
      </c>
      <c r="P39" s="10">
        <f t="shared" si="3"/>
        <v>7288427593.3150997</v>
      </c>
      <c r="Q39" s="8">
        <f t="shared" si="4"/>
        <v>6032869201.4706001</v>
      </c>
      <c r="R39" s="1">
        <v>30</v>
      </c>
    </row>
    <row r="40" spans="1:18" ht="18" customHeight="1" x14ac:dyDescent="0.2">
      <c r="A40" s="1">
        <v>31</v>
      </c>
      <c r="B40" s="16" t="s">
        <v>64</v>
      </c>
      <c r="C40" s="13">
        <v>17</v>
      </c>
      <c r="D40" s="4">
        <v>4063802367.8404999</v>
      </c>
      <c r="E40" s="4">
        <v>0</v>
      </c>
      <c r="F40" s="5">
        <f t="shared" si="0"/>
        <v>4063802367.8404999</v>
      </c>
      <c r="G40" s="6">
        <v>30016657.489999998</v>
      </c>
      <c r="H40" s="6">
        <v>1031399422.965</v>
      </c>
      <c r="I40" s="4">
        <v>700007777.19089997</v>
      </c>
      <c r="J40" s="7">
        <f t="shared" si="1"/>
        <v>2302378510.1946001</v>
      </c>
      <c r="K40" s="5">
        <v>15478055.699099999</v>
      </c>
      <c r="L40" s="5">
        <v>56482344.325949997</v>
      </c>
      <c r="M40" s="7">
        <v>1552248135.3964</v>
      </c>
      <c r="N40" s="10">
        <v>0</v>
      </c>
      <c r="O40" s="10">
        <f t="shared" si="2"/>
        <v>1552248135.3964</v>
      </c>
      <c r="P40" s="10">
        <f t="shared" si="3"/>
        <v>5688010903.2619495</v>
      </c>
      <c r="Q40" s="8">
        <f t="shared" si="4"/>
        <v>3926587045.6160502</v>
      </c>
      <c r="R40" s="1">
        <v>31</v>
      </c>
    </row>
    <row r="41" spans="1:18" ht="18" customHeight="1" x14ac:dyDescent="0.2">
      <c r="A41" s="1">
        <v>32</v>
      </c>
      <c r="B41" s="16" t="s">
        <v>65</v>
      </c>
      <c r="C41" s="13">
        <v>23</v>
      </c>
      <c r="D41" s="4">
        <v>4196946255.3541999</v>
      </c>
      <c r="E41" s="4">
        <v>9340670670.6168995</v>
      </c>
      <c r="F41" s="5">
        <f t="shared" si="0"/>
        <v>13537616925.9711</v>
      </c>
      <c r="G41" s="6">
        <v>235396084.11000001</v>
      </c>
      <c r="H41" s="6">
        <v>0</v>
      </c>
      <c r="I41" s="4">
        <v>679410521.44009995</v>
      </c>
      <c r="J41" s="7">
        <f t="shared" si="1"/>
        <v>12622810320.421</v>
      </c>
      <c r="K41" s="5">
        <v>63830932.949900001</v>
      </c>
      <c r="L41" s="5">
        <v>116665793.2914</v>
      </c>
      <c r="M41" s="7">
        <v>3665112247.2684999</v>
      </c>
      <c r="N41" s="10">
        <v>0</v>
      </c>
      <c r="O41" s="10">
        <f t="shared" si="2"/>
        <v>3665112247.2684999</v>
      </c>
      <c r="P41" s="10">
        <f t="shared" si="3"/>
        <v>17383225899.4809</v>
      </c>
      <c r="Q41" s="8">
        <f t="shared" si="4"/>
        <v>16468419293.930799</v>
      </c>
      <c r="R41" s="1">
        <v>32</v>
      </c>
    </row>
    <row r="42" spans="1:18" ht="18" customHeight="1" x14ac:dyDescent="0.2">
      <c r="A42" s="1">
        <v>33</v>
      </c>
      <c r="B42" s="16" t="s">
        <v>66</v>
      </c>
      <c r="C42" s="13">
        <v>23</v>
      </c>
      <c r="D42" s="4">
        <v>4288898062.7817998</v>
      </c>
      <c r="E42" s="4">
        <v>0</v>
      </c>
      <c r="F42" s="5">
        <f t="shared" si="0"/>
        <v>4288898062.7817998</v>
      </c>
      <c r="G42" s="6">
        <v>49319478.219999999</v>
      </c>
      <c r="H42" s="6">
        <v>0</v>
      </c>
      <c r="I42" s="4">
        <v>688710732.14069998</v>
      </c>
      <c r="J42" s="7">
        <f t="shared" si="1"/>
        <v>3550867852.4211001</v>
      </c>
      <c r="K42" s="5">
        <v>16335391.609300001</v>
      </c>
      <c r="L42" s="5">
        <v>119221849.5062</v>
      </c>
      <c r="M42" s="7">
        <v>1587571001.8311</v>
      </c>
      <c r="N42" s="10">
        <v>0</v>
      </c>
      <c r="O42" s="10">
        <f t="shared" si="2"/>
        <v>1587571001.8311</v>
      </c>
      <c r="P42" s="10">
        <f t="shared" si="3"/>
        <v>6012026305.7283993</v>
      </c>
      <c r="Q42" s="8">
        <f t="shared" si="4"/>
        <v>5273996095.3677006</v>
      </c>
      <c r="R42" s="1">
        <v>33</v>
      </c>
    </row>
    <row r="43" spans="1:18" ht="18" customHeight="1" x14ac:dyDescent="0.2">
      <c r="A43" s="1">
        <v>34</v>
      </c>
      <c r="B43" s="16" t="s">
        <v>67</v>
      </c>
      <c r="C43" s="13">
        <v>16</v>
      </c>
      <c r="D43" s="4">
        <v>3748676100.9580998</v>
      </c>
      <c r="E43" s="4">
        <v>0</v>
      </c>
      <c r="F43" s="5">
        <f t="shared" si="0"/>
        <v>3748676100.9580998</v>
      </c>
      <c r="G43" s="6">
        <v>76381878.329999998</v>
      </c>
      <c r="H43" s="6">
        <v>0</v>
      </c>
      <c r="I43" s="4">
        <v>1043055806.5398</v>
      </c>
      <c r="J43" s="7">
        <f t="shared" si="1"/>
        <v>2629238416.0882998</v>
      </c>
      <c r="K43" s="5">
        <v>14277814.770199999</v>
      </c>
      <c r="L43" s="5">
        <v>104204877.6663</v>
      </c>
      <c r="M43" s="7">
        <v>1362847038.4763999</v>
      </c>
      <c r="N43" s="10">
        <v>0</v>
      </c>
      <c r="O43" s="10">
        <f t="shared" si="2"/>
        <v>1362847038.4763999</v>
      </c>
      <c r="P43" s="10">
        <f t="shared" si="3"/>
        <v>5230005831.8709993</v>
      </c>
      <c r="Q43" s="8">
        <f t="shared" si="4"/>
        <v>4110568147.0011992</v>
      </c>
      <c r="R43" s="1">
        <v>34</v>
      </c>
    </row>
    <row r="44" spans="1:18" ht="18" customHeight="1" x14ac:dyDescent="0.2">
      <c r="A44" s="1">
        <v>35</v>
      </c>
      <c r="B44" s="16" t="s">
        <v>68</v>
      </c>
      <c r="C44" s="13">
        <v>17</v>
      </c>
      <c r="D44" s="4">
        <v>3864403844.4517002</v>
      </c>
      <c r="E44" s="4">
        <v>0</v>
      </c>
      <c r="F44" s="5">
        <f t="shared" si="0"/>
        <v>3864403844.4517002</v>
      </c>
      <c r="G44" s="6">
        <v>44955919.229999997</v>
      </c>
      <c r="H44" s="6">
        <v>0</v>
      </c>
      <c r="I44" s="4">
        <v>483091932.07910001</v>
      </c>
      <c r="J44" s="7">
        <f t="shared" si="1"/>
        <v>3336355993.1426001</v>
      </c>
      <c r="K44" s="5">
        <v>14718594.1909</v>
      </c>
      <c r="L44" s="5">
        <v>107421852.147</v>
      </c>
      <c r="M44" s="7">
        <v>1393734649.5529001</v>
      </c>
      <c r="N44" s="10">
        <v>0</v>
      </c>
      <c r="O44" s="10">
        <f t="shared" si="2"/>
        <v>1393734649.5529001</v>
      </c>
      <c r="P44" s="10">
        <f t="shared" si="3"/>
        <v>5380278940.3424997</v>
      </c>
      <c r="Q44" s="8">
        <f t="shared" si="4"/>
        <v>4852231089.0333996</v>
      </c>
      <c r="R44" s="1">
        <v>35</v>
      </c>
    </row>
    <row r="45" spans="1:18" ht="18" customHeight="1" x14ac:dyDescent="0.2">
      <c r="A45" s="1">
        <v>36</v>
      </c>
      <c r="B45" s="16" t="s">
        <v>69</v>
      </c>
      <c r="C45" s="13">
        <v>14</v>
      </c>
      <c r="D45" s="4">
        <v>3872633896.2550998</v>
      </c>
      <c r="E45" s="4">
        <v>0</v>
      </c>
      <c r="F45" s="5">
        <f t="shared" si="0"/>
        <v>3872633896.2550998</v>
      </c>
      <c r="G45" s="6">
        <v>37332162.299999997</v>
      </c>
      <c r="H45" s="6">
        <v>488822936.86000001</v>
      </c>
      <c r="I45" s="4">
        <v>693071504.20070004</v>
      </c>
      <c r="J45" s="7">
        <f t="shared" si="1"/>
        <v>2653407292.8943996</v>
      </c>
      <c r="K45" s="5">
        <v>14749940.499300001</v>
      </c>
      <c r="L45" s="5">
        <v>107650629.3255</v>
      </c>
      <c r="M45" s="7">
        <v>1502391369.2993</v>
      </c>
      <c r="N45" s="10">
        <v>0</v>
      </c>
      <c r="O45" s="10">
        <f t="shared" si="2"/>
        <v>1502391369.2993</v>
      </c>
      <c r="P45" s="10">
        <f t="shared" si="3"/>
        <v>5497425835.3792</v>
      </c>
      <c r="Q45" s="8">
        <f t="shared" si="4"/>
        <v>4278199232.0184994</v>
      </c>
      <c r="R45" s="1">
        <v>36</v>
      </c>
    </row>
    <row r="46" spans="1:18" ht="18" customHeight="1" thickBot="1" x14ac:dyDescent="0.35">
      <c r="A46" s="1"/>
      <c r="B46" s="64" t="s">
        <v>126</v>
      </c>
      <c r="C46" s="76"/>
      <c r="D46" s="77"/>
      <c r="E46" s="77"/>
      <c r="F46" s="78"/>
      <c r="G46" s="79"/>
      <c r="H46" s="79"/>
      <c r="I46" s="77"/>
      <c r="J46" s="80"/>
      <c r="K46" s="78"/>
      <c r="L46" s="78">
        <v>346254061.01915002</v>
      </c>
      <c r="M46" s="80"/>
      <c r="N46" s="81"/>
      <c r="O46" s="81"/>
      <c r="P46" s="10">
        <f t="shared" si="3"/>
        <v>346254061.01915002</v>
      </c>
      <c r="Q46" s="8">
        <f t="shared" si="4"/>
        <v>346254061.01915002</v>
      </c>
      <c r="R46" s="11"/>
    </row>
    <row r="47" spans="1:18" ht="18" customHeight="1" thickTop="1" thickBot="1" x14ac:dyDescent="0.3">
      <c r="A47" s="1"/>
      <c r="B47" s="100" t="s">
        <v>127</v>
      </c>
      <c r="C47" s="101"/>
      <c r="D47" s="9">
        <f>SUM(D10:D46)</f>
        <v>147571937620.3696</v>
      </c>
      <c r="E47" s="9">
        <f t="shared" ref="E47:Q47" si="5">SUM(E10:E46)</f>
        <v>53904557143.921005</v>
      </c>
      <c r="F47" s="9">
        <f t="shared" si="5"/>
        <v>201476494764.29059</v>
      </c>
      <c r="G47" s="9">
        <f t="shared" si="5"/>
        <v>4996692048.3599997</v>
      </c>
      <c r="H47" s="9">
        <f t="shared" si="5"/>
        <v>7473654908.1949997</v>
      </c>
      <c r="I47" s="9">
        <f t="shared" si="5"/>
        <v>26531873650.353401</v>
      </c>
      <c r="J47" s="9">
        <f t="shared" si="5"/>
        <v>162474274157.3822</v>
      </c>
      <c r="K47" s="9">
        <f t="shared" si="5"/>
        <v>857486859.74430013</v>
      </c>
      <c r="L47" s="9">
        <f t="shared" si="5"/>
        <v>4102172418.3586998</v>
      </c>
      <c r="M47" s="9">
        <f t="shared" si="5"/>
        <v>70277475816.920303</v>
      </c>
      <c r="N47" s="9">
        <f t="shared" si="5"/>
        <v>1000000000</v>
      </c>
      <c r="O47" s="9">
        <f t="shared" si="5"/>
        <v>69277475816.920303</v>
      </c>
      <c r="P47" s="9">
        <f t="shared" si="5"/>
        <v>276713629859.3139</v>
      </c>
      <c r="Q47" s="9">
        <f t="shared" si="5"/>
        <v>236711409252.40546</v>
      </c>
    </row>
    <row r="48" spans="1:18" ht="13.5" thickTop="1" x14ac:dyDescent="0.2"/>
    <row r="49" spans="1:17" ht="20.25" x14ac:dyDescent="0.3">
      <c r="A49" s="14" t="s">
        <v>29</v>
      </c>
    </row>
    <row r="50" spans="1:17" x14ac:dyDescent="0.2">
      <c r="P50" s="18"/>
    </row>
    <row r="52" spans="1:17" x14ac:dyDescent="0.2">
      <c r="Q52" s="75"/>
    </row>
    <row r="55" spans="1:17" x14ac:dyDescent="0.2">
      <c r="O55" s="18"/>
      <c r="Q55" s="75"/>
    </row>
  </sheetData>
  <mergeCells count="21">
    <mergeCell ref="L7:L8"/>
    <mergeCell ref="A1:R1"/>
    <mergeCell ref="K7:K8"/>
    <mergeCell ref="A4:Q4"/>
    <mergeCell ref="A7:A8"/>
    <mergeCell ref="R7:R8"/>
    <mergeCell ref="D5:Q5"/>
    <mergeCell ref="J7:J8"/>
    <mergeCell ref="M7:M8"/>
    <mergeCell ref="P7:P8"/>
    <mergeCell ref="Q7:Q8"/>
    <mergeCell ref="A2:R2"/>
    <mergeCell ref="N7:N8"/>
    <mergeCell ref="O7:O8"/>
    <mergeCell ref="B47:C47"/>
    <mergeCell ref="G7:I7"/>
    <mergeCell ref="F7:F8"/>
    <mergeCell ref="E7:E8"/>
    <mergeCell ref="D7:D8"/>
    <mergeCell ref="C7:C8"/>
    <mergeCell ref="B7:B8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9"/>
  <sheetViews>
    <sheetView topLeftCell="A3" workbookViewId="0">
      <selection activeCell="A3" sqref="A3:G3"/>
    </sheetView>
  </sheetViews>
  <sheetFormatPr defaultRowHeight="12.75" x14ac:dyDescent="0.2"/>
  <cols>
    <col min="2" max="2" width="24.140625" customWidth="1"/>
    <col min="4" max="4" width="25.5703125" customWidth="1"/>
    <col min="5" max="5" width="25" customWidth="1"/>
    <col min="6" max="6" width="26.140625" customWidth="1"/>
    <col min="7" max="7" width="8.42578125" customWidth="1"/>
    <col min="8" max="8" width="18.7109375" bestFit="1" customWidth="1"/>
  </cols>
  <sheetData>
    <row r="1" spans="1:7" ht="27" x14ac:dyDescent="0.35">
      <c r="A1" s="112" t="s">
        <v>109</v>
      </c>
      <c r="B1" s="112"/>
      <c r="C1" s="112"/>
      <c r="D1" s="112"/>
      <c r="E1" s="112"/>
      <c r="F1" s="112"/>
      <c r="G1" s="112"/>
    </row>
    <row r="2" spans="1:7" ht="25.5" x14ac:dyDescent="0.35">
      <c r="A2" s="113" t="s">
        <v>110</v>
      </c>
      <c r="B2" s="114"/>
      <c r="C2" s="114"/>
      <c r="D2" s="114"/>
      <c r="E2" s="114"/>
      <c r="F2" s="114"/>
      <c r="G2" s="115"/>
    </row>
    <row r="3" spans="1:7" ht="48.75" customHeight="1" x14ac:dyDescent="0.35">
      <c r="A3" s="116" t="s">
        <v>116</v>
      </c>
      <c r="B3" s="117"/>
      <c r="C3" s="117"/>
      <c r="D3" s="117"/>
      <c r="E3" s="117"/>
      <c r="F3" s="117"/>
      <c r="G3" s="118"/>
    </row>
    <row r="4" spans="1:7" ht="19.5" x14ac:dyDescent="0.35">
      <c r="A4" s="56"/>
      <c r="B4" s="57">
        <v>1</v>
      </c>
      <c r="C4" s="57">
        <v>2</v>
      </c>
      <c r="D4" s="57">
        <v>3</v>
      </c>
      <c r="E4" s="57">
        <v>4</v>
      </c>
      <c r="F4" s="58" t="s">
        <v>111</v>
      </c>
      <c r="G4" s="59"/>
    </row>
    <row r="5" spans="1:7" ht="31.5" x14ac:dyDescent="0.25">
      <c r="A5" s="60" t="s">
        <v>0</v>
      </c>
      <c r="B5" s="60" t="s">
        <v>19</v>
      </c>
      <c r="C5" s="61" t="s">
        <v>1</v>
      </c>
      <c r="D5" s="62" t="s">
        <v>112</v>
      </c>
      <c r="E5" s="63" t="s">
        <v>113</v>
      </c>
      <c r="F5" s="60" t="s">
        <v>13</v>
      </c>
      <c r="G5" s="60" t="s">
        <v>0</v>
      </c>
    </row>
    <row r="6" spans="1:7" ht="18.75" x14ac:dyDescent="0.3">
      <c r="A6" s="64"/>
      <c r="B6" s="64"/>
      <c r="C6" s="64"/>
      <c r="D6" s="65" t="s">
        <v>91</v>
      </c>
      <c r="E6" s="65" t="s">
        <v>91</v>
      </c>
      <c r="F6" s="65" t="s">
        <v>91</v>
      </c>
      <c r="G6" s="64"/>
    </row>
    <row r="7" spans="1:7" ht="18.75" x14ac:dyDescent="0.3">
      <c r="A7" s="66">
        <v>1</v>
      </c>
      <c r="B7" s="64" t="s">
        <v>34</v>
      </c>
      <c r="C7" s="66">
        <v>17</v>
      </c>
      <c r="D7" s="64">
        <v>100911969.1418</v>
      </c>
      <c r="E7" s="64">
        <v>384349.66489999997</v>
      </c>
      <c r="F7" s="64">
        <f>D7+E7</f>
        <v>101296318.80670001</v>
      </c>
      <c r="G7" s="67">
        <v>1</v>
      </c>
    </row>
    <row r="8" spans="1:7" ht="18.75" x14ac:dyDescent="0.3">
      <c r="A8" s="66">
        <v>2</v>
      </c>
      <c r="B8" s="64" t="s">
        <v>35</v>
      </c>
      <c r="C8" s="66">
        <v>21</v>
      </c>
      <c r="D8" s="64">
        <v>107352981.70039999</v>
      </c>
      <c r="E8" s="64">
        <v>408881.94839999999</v>
      </c>
      <c r="F8" s="64">
        <f t="shared" ref="F8:F43" si="0">D8+E8</f>
        <v>107761863.6488</v>
      </c>
      <c r="G8" s="67">
        <v>2</v>
      </c>
    </row>
    <row r="9" spans="1:7" ht="18.75" x14ac:dyDescent="0.3">
      <c r="A9" s="66">
        <v>3</v>
      </c>
      <c r="B9" s="64" t="s">
        <v>36</v>
      </c>
      <c r="C9" s="66">
        <v>31</v>
      </c>
      <c r="D9" s="64">
        <v>108350604.5226</v>
      </c>
      <c r="E9" s="64">
        <v>412681.65600000002</v>
      </c>
      <c r="F9" s="64">
        <f t="shared" si="0"/>
        <v>108763286.1786</v>
      </c>
      <c r="G9" s="67">
        <v>3</v>
      </c>
    </row>
    <row r="10" spans="1:7" ht="18.75" x14ac:dyDescent="0.3">
      <c r="A10" s="66">
        <v>4</v>
      </c>
      <c r="B10" s="64" t="s">
        <v>37</v>
      </c>
      <c r="C10" s="66">
        <v>21</v>
      </c>
      <c r="D10" s="64">
        <v>107151868.52779999</v>
      </c>
      <c r="E10" s="64">
        <v>408115.95600000001</v>
      </c>
      <c r="F10" s="64">
        <f t="shared" si="0"/>
        <v>107559984.48379999</v>
      </c>
      <c r="G10" s="67">
        <v>4</v>
      </c>
    </row>
    <row r="11" spans="1:7" ht="18.75" x14ac:dyDescent="0.3">
      <c r="A11" s="66">
        <v>5</v>
      </c>
      <c r="B11" s="64" t="s">
        <v>38</v>
      </c>
      <c r="C11" s="66">
        <v>20</v>
      </c>
      <c r="D11" s="64">
        <v>128907287.8476</v>
      </c>
      <c r="E11" s="64">
        <v>490977.16869999998</v>
      </c>
      <c r="F11" s="64">
        <f t="shared" si="0"/>
        <v>129398265.01629999</v>
      </c>
      <c r="G11" s="67">
        <v>5</v>
      </c>
    </row>
    <row r="12" spans="1:7" ht="18.75" x14ac:dyDescent="0.3">
      <c r="A12" s="66">
        <v>6</v>
      </c>
      <c r="B12" s="64" t="s">
        <v>39</v>
      </c>
      <c r="C12" s="66">
        <v>8</v>
      </c>
      <c r="D12" s="64">
        <v>95354753.399299994</v>
      </c>
      <c r="E12" s="64">
        <v>363183.55330000003</v>
      </c>
      <c r="F12" s="64">
        <f t="shared" si="0"/>
        <v>95717936.952599987</v>
      </c>
      <c r="G12" s="67">
        <v>6</v>
      </c>
    </row>
    <row r="13" spans="1:7" ht="18.75" x14ac:dyDescent="0.3">
      <c r="A13" s="66">
        <v>7</v>
      </c>
      <c r="B13" s="64" t="s">
        <v>40</v>
      </c>
      <c r="C13" s="66">
        <v>23</v>
      </c>
      <c r="D13" s="64">
        <f>120858915.4441/2</f>
        <v>60429457.722050004</v>
      </c>
      <c r="E13" s="64">
        <f>460322.8343/2</f>
        <v>230161.41714999999</v>
      </c>
      <c r="F13" s="64">
        <f t="shared" si="0"/>
        <v>60659619.139200002</v>
      </c>
      <c r="G13" s="67">
        <v>7</v>
      </c>
    </row>
    <row r="14" spans="1:7" ht="18.75" x14ac:dyDescent="0.3">
      <c r="A14" s="66">
        <v>8</v>
      </c>
      <c r="B14" s="64" t="s">
        <v>41</v>
      </c>
      <c r="C14" s="66">
        <v>27</v>
      </c>
      <c r="D14" s="64">
        <v>133894357.5355</v>
      </c>
      <c r="E14" s="64">
        <v>509971.72989999998</v>
      </c>
      <c r="F14" s="64">
        <f t="shared" si="0"/>
        <v>134404329.26539999</v>
      </c>
      <c r="G14" s="67">
        <v>8</v>
      </c>
    </row>
    <row r="15" spans="1:7" ht="18.75" x14ac:dyDescent="0.3">
      <c r="A15" s="66">
        <v>9</v>
      </c>
      <c r="B15" s="64" t="s">
        <v>42</v>
      </c>
      <c r="C15" s="66">
        <v>18</v>
      </c>
      <c r="D15" s="64">
        <v>108369082.7828</v>
      </c>
      <c r="E15" s="64">
        <v>412752.0355</v>
      </c>
      <c r="F15" s="64">
        <f t="shared" si="0"/>
        <v>108781834.81830001</v>
      </c>
      <c r="G15" s="67">
        <v>9</v>
      </c>
    </row>
    <row r="16" spans="1:7" ht="18.75" x14ac:dyDescent="0.3">
      <c r="A16" s="66">
        <v>10</v>
      </c>
      <c r="B16" s="64" t="s">
        <v>43</v>
      </c>
      <c r="C16" s="66">
        <v>25</v>
      </c>
      <c r="D16" s="64">
        <v>109422535.3233</v>
      </c>
      <c r="E16" s="64">
        <v>416764.38530000002</v>
      </c>
      <c r="F16" s="64">
        <f t="shared" si="0"/>
        <v>109839299.7086</v>
      </c>
      <c r="G16" s="67">
        <v>10</v>
      </c>
    </row>
    <row r="17" spans="1:7" ht="18.75" x14ac:dyDescent="0.3">
      <c r="A17" s="66">
        <v>11</v>
      </c>
      <c r="B17" s="64" t="s">
        <v>44</v>
      </c>
      <c r="C17" s="66">
        <v>13</v>
      </c>
      <c r="D17" s="64">
        <v>96413484.847100005</v>
      </c>
      <c r="E17" s="64">
        <v>367216.00919999997</v>
      </c>
      <c r="F17" s="64">
        <f t="shared" si="0"/>
        <v>96780700.856300011</v>
      </c>
      <c r="G17" s="67">
        <v>11</v>
      </c>
    </row>
    <row r="18" spans="1:7" ht="18.75" x14ac:dyDescent="0.3">
      <c r="A18" s="66">
        <v>12</v>
      </c>
      <c r="B18" s="64" t="s">
        <v>45</v>
      </c>
      <c r="C18" s="66">
        <v>18</v>
      </c>
      <c r="D18" s="64">
        <v>100767543.7976</v>
      </c>
      <c r="E18" s="64">
        <v>383799.5833</v>
      </c>
      <c r="F18" s="64">
        <f t="shared" si="0"/>
        <v>101151343.3809</v>
      </c>
      <c r="G18" s="67">
        <v>12</v>
      </c>
    </row>
    <row r="19" spans="1:7" ht="18.75" x14ac:dyDescent="0.3">
      <c r="A19" s="66">
        <v>13</v>
      </c>
      <c r="B19" s="64" t="s">
        <v>46</v>
      </c>
      <c r="C19" s="66">
        <v>16</v>
      </c>
      <c r="D19" s="64">
        <v>96359079.279499993</v>
      </c>
      <c r="E19" s="64">
        <v>367008.79149999999</v>
      </c>
      <c r="F19" s="64">
        <f t="shared" si="0"/>
        <v>96726088.070999995</v>
      </c>
      <c r="G19" s="67">
        <v>13</v>
      </c>
    </row>
    <row r="20" spans="1:7" ht="18.75" x14ac:dyDescent="0.3">
      <c r="A20" s="66">
        <v>14</v>
      </c>
      <c r="B20" s="64" t="s">
        <v>47</v>
      </c>
      <c r="C20" s="66">
        <v>17</v>
      </c>
      <c r="D20" s="64">
        <v>108378435.76639999</v>
      </c>
      <c r="E20" s="64">
        <v>412787.65879999998</v>
      </c>
      <c r="F20" s="64">
        <f t="shared" si="0"/>
        <v>108791223.4252</v>
      </c>
      <c r="G20" s="67">
        <v>14</v>
      </c>
    </row>
    <row r="21" spans="1:7" ht="18.75" x14ac:dyDescent="0.3">
      <c r="A21" s="66">
        <v>15</v>
      </c>
      <c r="B21" s="64" t="s">
        <v>48</v>
      </c>
      <c r="C21" s="66">
        <v>11</v>
      </c>
      <c r="D21" s="64">
        <v>101508307.8521</v>
      </c>
      <c r="E21" s="64">
        <v>386620.97710000002</v>
      </c>
      <c r="F21" s="64">
        <f t="shared" si="0"/>
        <v>101894928.8292</v>
      </c>
      <c r="G21" s="67">
        <v>15</v>
      </c>
    </row>
    <row r="22" spans="1:7" ht="18.75" x14ac:dyDescent="0.3">
      <c r="A22" s="66">
        <v>16</v>
      </c>
      <c r="B22" s="64" t="s">
        <v>49</v>
      </c>
      <c r="C22" s="66">
        <v>27</v>
      </c>
      <c r="D22" s="64">
        <v>112047346.1321</v>
      </c>
      <c r="E22" s="64">
        <v>426761.66480000003</v>
      </c>
      <c r="F22" s="64">
        <f t="shared" si="0"/>
        <v>112474107.7969</v>
      </c>
      <c r="G22" s="67">
        <v>16</v>
      </c>
    </row>
    <row r="23" spans="1:7" ht="18.75" x14ac:dyDescent="0.3">
      <c r="A23" s="66">
        <v>17</v>
      </c>
      <c r="B23" s="64" t="s">
        <v>50</v>
      </c>
      <c r="C23" s="66">
        <v>27</v>
      </c>
      <c r="D23" s="64">
        <v>120517314.7485</v>
      </c>
      <c r="E23" s="64">
        <v>459021.75870000001</v>
      </c>
      <c r="F23" s="64">
        <f t="shared" si="0"/>
        <v>120976336.5072</v>
      </c>
      <c r="G23" s="67">
        <v>17</v>
      </c>
    </row>
    <row r="24" spans="1:7" ht="18.75" x14ac:dyDescent="0.3">
      <c r="A24" s="66">
        <v>18</v>
      </c>
      <c r="B24" s="64" t="s">
        <v>51</v>
      </c>
      <c r="C24" s="66">
        <v>23</v>
      </c>
      <c r="D24" s="64">
        <v>141200051.65000001</v>
      </c>
      <c r="E24" s="64">
        <v>537797.37930000003</v>
      </c>
      <c r="F24" s="64">
        <f t="shared" si="0"/>
        <v>141737849.0293</v>
      </c>
      <c r="G24" s="67">
        <v>18</v>
      </c>
    </row>
    <row r="25" spans="1:7" ht="18.75" x14ac:dyDescent="0.3">
      <c r="A25" s="66">
        <v>19</v>
      </c>
      <c r="B25" s="64" t="s">
        <v>52</v>
      </c>
      <c r="C25" s="66">
        <v>44</v>
      </c>
      <c r="D25" s="64">
        <v>170938382.30680001</v>
      </c>
      <c r="E25" s="64">
        <v>651063.60049999994</v>
      </c>
      <c r="F25" s="64">
        <f t="shared" si="0"/>
        <v>171589445.9073</v>
      </c>
      <c r="G25" s="67">
        <v>19</v>
      </c>
    </row>
    <row r="26" spans="1:7" ht="18.75" x14ac:dyDescent="0.3">
      <c r="A26" s="66">
        <v>20</v>
      </c>
      <c r="B26" s="64" t="s">
        <v>53</v>
      </c>
      <c r="C26" s="66">
        <v>34</v>
      </c>
      <c r="D26" s="64">
        <v>132472381.38940001</v>
      </c>
      <c r="E26" s="64">
        <v>504555.76130000001</v>
      </c>
      <c r="F26" s="64">
        <f t="shared" si="0"/>
        <v>132976937.1507</v>
      </c>
      <c r="G26" s="67">
        <v>20</v>
      </c>
    </row>
    <row r="27" spans="1:7" ht="18.75" x14ac:dyDescent="0.3">
      <c r="A27" s="66">
        <v>21</v>
      </c>
      <c r="B27" s="64" t="s">
        <v>54</v>
      </c>
      <c r="C27" s="66">
        <v>21</v>
      </c>
      <c r="D27" s="64">
        <f>113794436.5249/2</f>
        <v>56897218.262450002</v>
      </c>
      <c r="E27" s="64">
        <f>433415.9161/2</f>
        <v>216707.95804999999</v>
      </c>
      <c r="F27" s="64">
        <f t="shared" si="0"/>
        <v>57113926.2205</v>
      </c>
      <c r="G27" s="67">
        <v>21</v>
      </c>
    </row>
    <row r="28" spans="1:7" ht="18.75" x14ac:dyDescent="0.3">
      <c r="A28" s="66">
        <v>22</v>
      </c>
      <c r="B28" s="64" t="s">
        <v>55</v>
      </c>
      <c r="C28" s="66">
        <v>21</v>
      </c>
      <c r="D28" s="64">
        <f>119108421.593/2</f>
        <v>59554210.796499997</v>
      </c>
      <c r="E28" s="64">
        <f>453655.62/2</f>
        <v>226827.81</v>
      </c>
      <c r="F28" s="64">
        <f t="shared" si="0"/>
        <v>59781038.6065</v>
      </c>
      <c r="G28" s="67">
        <v>22</v>
      </c>
    </row>
    <row r="29" spans="1:7" ht="18.75" x14ac:dyDescent="0.3">
      <c r="A29" s="66">
        <v>23</v>
      </c>
      <c r="B29" s="64" t="s">
        <v>56</v>
      </c>
      <c r="C29" s="66">
        <v>16</v>
      </c>
      <c r="D29" s="64">
        <f>95929473.2642/2</f>
        <v>47964736.632100001</v>
      </c>
      <c r="E29" s="64">
        <f>365372.5244/2</f>
        <v>182686.2622</v>
      </c>
      <c r="F29" s="64">
        <f t="shared" si="0"/>
        <v>48147422.894299999</v>
      </c>
      <c r="G29" s="67">
        <v>23</v>
      </c>
    </row>
    <row r="30" spans="1:7" ht="18.75" x14ac:dyDescent="0.3">
      <c r="A30" s="66">
        <v>24</v>
      </c>
      <c r="B30" s="64" t="s">
        <v>57</v>
      </c>
      <c r="C30" s="66">
        <v>20</v>
      </c>
      <c r="D30" s="64">
        <v>144368553.13010001</v>
      </c>
      <c r="E30" s="64">
        <v>549865.44700000004</v>
      </c>
      <c r="F30" s="64">
        <f t="shared" si="0"/>
        <v>144918418.57710001</v>
      </c>
      <c r="G30" s="67">
        <v>24</v>
      </c>
    </row>
    <row r="31" spans="1:7" ht="18.75" x14ac:dyDescent="0.3">
      <c r="A31" s="66">
        <v>25</v>
      </c>
      <c r="B31" s="64" t="s">
        <v>58</v>
      </c>
      <c r="C31" s="66">
        <v>13</v>
      </c>
      <c r="D31" s="64">
        <v>99383140.430600002</v>
      </c>
      <c r="E31" s="64">
        <v>378526.72039999999</v>
      </c>
      <c r="F31" s="64">
        <f t="shared" si="0"/>
        <v>99761667.151000008</v>
      </c>
      <c r="G31" s="67">
        <v>25</v>
      </c>
    </row>
    <row r="32" spans="1:7" ht="18.75" x14ac:dyDescent="0.3">
      <c r="A32" s="66">
        <v>26</v>
      </c>
      <c r="B32" s="64" t="s">
        <v>59</v>
      </c>
      <c r="C32" s="66">
        <v>25</v>
      </c>
      <c r="D32" s="64">
        <f>127653218.9465/2</f>
        <v>63826609.473250002</v>
      </c>
      <c r="E32" s="64">
        <f>486200.7189/2</f>
        <v>243100.35944999999</v>
      </c>
      <c r="F32" s="64">
        <f t="shared" si="0"/>
        <v>64069709.832699999</v>
      </c>
      <c r="G32" s="67">
        <v>26</v>
      </c>
    </row>
    <row r="33" spans="1:8" ht="18.75" x14ac:dyDescent="0.3">
      <c r="A33" s="66">
        <v>27</v>
      </c>
      <c r="B33" s="64" t="s">
        <v>60</v>
      </c>
      <c r="C33" s="66">
        <v>20</v>
      </c>
      <c r="D33" s="64">
        <v>100121259.19</v>
      </c>
      <c r="E33" s="64">
        <v>381338.03909999999</v>
      </c>
      <c r="F33" s="64">
        <f t="shared" si="0"/>
        <v>100502597.2291</v>
      </c>
      <c r="G33" s="67">
        <v>27</v>
      </c>
    </row>
    <row r="34" spans="1:8" ht="18.75" x14ac:dyDescent="0.3">
      <c r="A34" s="66">
        <v>28</v>
      </c>
      <c r="B34" s="64" t="s">
        <v>61</v>
      </c>
      <c r="C34" s="66">
        <v>18</v>
      </c>
      <c r="D34" s="64">
        <v>100319610.6173</v>
      </c>
      <c r="E34" s="64">
        <v>382093.5123</v>
      </c>
      <c r="F34" s="64">
        <f t="shared" si="0"/>
        <v>100701704.1296</v>
      </c>
      <c r="G34" s="67">
        <v>28</v>
      </c>
    </row>
    <row r="35" spans="1:8" ht="18.75" x14ac:dyDescent="0.3">
      <c r="A35" s="66">
        <v>29</v>
      </c>
      <c r="B35" s="64" t="s">
        <v>62</v>
      </c>
      <c r="C35" s="66">
        <v>30</v>
      </c>
      <c r="D35" s="64">
        <v>98285837.499799997</v>
      </c>
      <c r="E35" s="64">
        <v>374347.35489999998</v>
      </c>
      <c r="F35" s="64">
        <f t="shared" si="0"/>
        <v>98660184.854699999</v>
      </c>
      <c r="G35" s="67">
        <v>29</v>
      </c>
    </row>
    <row r="36" spans="1:8" ht="18.75" x14ac:dyDescent="0.3">
      <c r="A36" s="66">
        <v>30</v>
      </c>
      <c r="B36" s="64" t="s">
        <v>63</v>
      </c>
      <c r="C36" s="66">
        <v>33</v>
      </c>
      <c r="D36" s="64">
        <v>120872268.9149</v>
      </c>
      <c r="E36" s="64">
        <v>460373.69449999998</v>
      </c>
      <c r="F36" s="64">
        <f t="shared" si="0"/>
        <v>121332642.6094</v>
      </c>
      <c r="G36" s="67">
        <v>30</v>
      </c>
    </row>
    <row r="37" spans="1:8" ht="18.75" x14ac:dyDescent="0.3">
      <c r="A37" s="66">
        <v>31</v>
      </c>
      <c r="B37" s="64" t="s">
        <v>64</v>
      </c>
      <c r="C37" s="66">
        <v>17</v>
      </c>
      <c r="D37" s="64">
        <f>112536065.571/2</f>
        <v>56268032.785499997</v>
      </c>
      <c r="E37" s="64">
        <f>428623.0809/2</f>
        <v>214311.54045</v>
      </c>
      <c r="F37" s="64">
        <f t="shared" si="0"/>
        <v>56482344.325949997</v>
      </c>
      <c r="G37" s="67">
        <v>31</v>
      </c>
    </row>
    <row r="38" spans="1:8" ht="18.75" x14ac:dyDescent="0.3">
      <c r="A38" s="66">
        <v>32</v>
      </c>
      <c r="B38" s="64" t="s">
        <v>65</v>
      </c>
      <c r="C38" s="66">
        <v>23</v>
      </c>
      <c r="D38" s="64">
        <v>116223127.0713</v>
      </c>
      <c r="E38" s="64">
        <v>442666.22009999998</v>
      </c>
      <c r="F38" s="64">
        <f t="shared" si="0"/>
        <v>116665793.2914</v>
      </c>
      <c r="G38" s="67">
        <v>32</v>
      </c>
    </row>
    <row r="39" spans="1:8" ht="18.75" x14ac:dyDescent="0.3">
      <c r="A39" s="66">
        <v>33</v>
      </c>
      <c r="B39" s="64" t="s">
        <v>66</v>
      </c>
      <c r="C39" s="66">
        <v>23</v>
      </c>
      <c r="D39" s="64">
        <v>118769484.81550001</v>
      </c>
      <c r="E39" s="64">
        <v>452364.69069999998</v>
      </c>
      <c r="F39" s="64">
        <f t="shared" si="0"/>
        <v>119221849.5062</v>
      </c>
      <c r="G39" s="67">
        <v>33</v>
      </c>
    </row>
    <row r="40" spans="1:8" ht="18.75" x14ac:dyDescent="0.3">
      <c r="A40" s="66">
        <v>34</v>
      </c>
      <c r="B40" s="64" t="s">
        <v>67</v>
      </c>
      <c r="C40" s="66">
        <v>16</v>
      </c>
      <c r="D40" s="64">
        <v>103809492.0265</v>
      </c>
      <c r="E40" s="64">
        <v>395385.6398</v>
      </c>
      <c r="F40" s="64">
        <f t="shared" si="0"/>
        <v>104204877.6663</v>
      </c>
      <c r="G40" s="67">
        <v>34</v>
      </c>
    </row>
    <row r="41" spans="1:8" ht="18.75" x14ac:dyDescent="0.3">
      <c r="A41" s="66">
        <v>35</v>
      </c>
      <c r="B41" s="64" t="s">
        <v>68</v>
      </c>
      <c r="C41" s="66">
        <v>17</v>
      </c>
      <c r="D41" s="64">
        <v>107014260.3079</v>
      </c>
      <c r="E41" s="64">
        <v>407591.83909999998</v>
      </c>
      <c r="F41" s="64">
        <f t="shared" si="0"/>
        <v>107421852.147</v>
      </c>
      <c r="G41" s="67">
        <v>35</v>
      </c>
    </row>
    <row r="42" spans="1:8" ht="18.75" x14ac:dyDescent="0.3">
      <c r="A42" s="66">
        <v>36</v>
      </c>
      <c r="B42" s="64" t="s">
        <v>69</v>
      </c>
      <c r="C42" s="66">
        <v>14</v>
      </c>
      <c r="D42" s="64">
        <v>107242169.4348</v>
      </c>
      <c r="E42" s="64">
        <v>408459.89069999999</v>
      </c>
      <c r="F42" s="64">
        <f t="shared" si="0"/>
        <v>107650629.3255</v>
      </c>
      <c r="G42" s="67">
        <v>36</v>
      </c>
    </row>
    <row r="43" spans="1:8" ht="18.75" x14ac:dyDescent="0.3">
      <c r="A43" s="66">
        <v>37</v>
      </c>
      <c r="B43" s="64" t="s">
        <v>126</v>
      </c>
      <c r="C43" s="66"/>
      <c r="D43" s="64">
        <f>D37+D32+D29+D28+D27+D13</f>
        <v>344940265.67185003</v>
      </c>
      <c r="E43" s="64">
        <f>E37+E32+E29+E28+E27+E13</f>
        <v>1313795.3473</v>
      </c>
      <c r="F43" s="64">
        <f t="shared" si="0"/>
        <v>346254061.01915002</v>
      </c>
      <c r="G43" s="67"/>
    </row>
    <row r="44" spans="1:8" ht="19.5" x14ac:dyDescent="0.35">
      <c r="A44" s="66"/>
      <c r="B44" s="68" t="s">
        <v>114</v>
      </c>
      <c r="C44" s="64"/>
      <c r="D44" s="69">
        <f>SUM(D7:D43)</f>
        <v>4086607503.3330011</v>
      </c>
      <c r="E44" s="69">
        <f t="shared" ref="E44:F44" si="1">SUM(E7:E43)</f>
        <v>15564915.025700001</v>
      </c>
      <c r="F44" s="69">
        <f t="shared" si="1"/>
        <v>4102172418.3586998</v>
      </c>
      <c r="G44" s="67"/>
    </row>
    <row r="45" spans="1:8" ht="18.75" x14ac:dyDescent="0.3">
      <c r="A45" s="119"/>
      <c r="B45" s="119"/>
      <c r="C45" s="119"/>
      <c r="D45" s="119"/>
      <c r="E45" s="119"/>
      <c r="F45" s="119"/>
      <c r="G45" s="119"/>
    </row>
    <row r="46" spans="1:8" x14ac:dyDescent="0.2">
      <c r="A46" s="120"/>
      <c r="B46" s="120"/>
      <c r="C46" s="120"/>
      <c r="D46" s="120"/>
      <c r="E46" s="120"/>
      <c r="F46" s="120"/>
      <c r="G46" s="120"/>
    </row>
    <row r="47" spans="1:8" ht="23.25" x14ac:dyDescent="0.35">
      <c r="A47" s="111" t="s">
        <v>115</v>
      </c>
      <c r="B47" s="111"/>
      <c r="C47" s="111"/>
      <c r="D47" s="111"/>
      <c r="E47" s="111"/>
      <c r="F47" s="111"/>
      <c r="G47" s="111"/>
      <c r="H47" s="17"/>
    </row>
    <row r="49" spans="6:6" x14ac:dyDescent="0.2">
      <c r="F49" s="17"/>
    </row>
  </sheetData>
  <mergeCells count="6">
    <mergeCell ref="A47:G47"/>
    <mergeCell ref="A1:G1"/>
    <mergeCell ref="A2:G2"/>
    <mergeCell ref="A3:G3"/>
    <mergeCell ref="A45:G45"/>
    <mergeCell ref="A46:G46"/>
  </mergeCells>
  <pageMargins left="0.70866141732283472" right="0.70866141732283472" top="0.74803149606299213" bottom="0.74803149606299213" header="0.31496062992125984" footer="0.31496062992125984"/>
  <pageSetup scale="56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4"/>
  <sheetViews>
    <sheetView tabSelected="1" topLeftCell="A3" workbookViewId="0">
      <selection activeCell="A3" sqref="A3:J3"/>
    </sheetView>
  </sheetViews>
  <sheetFormatPr defaultRowHeight="12.75" x14ac:dyDescent="0.2"/>
  <cols>
    <col min="2" max="2" width="24.140625" customWidth="1"/>
    <col min="4" max="4" width="26.42578125" customWidth="1"/>
    <col min="5" max="5" width="26" customWidth="1"/>
    <col min="6" max="6" width="23.42578125" bestFit="1" customWidth="1"/>
    <col min="7" max="7" width="23.42578125" customWidth="1"/>
    <col min="8" max="8" width="24.85546875" bestFit="1" customWidth="1"/>
    <col min="9" max="9" width="26.140625" customWidth="1"/>
    <col min="10" max="10" width="8.42578125" customWidth="1"/>
    <col min="13" max="13" width="15" bestFit="1" customWidth="1"/>
    <col min="14" max="14" width="15.5703125" bestFit="1" customWidth="1"/>
    <col min="15" max="16" width="15" bestFit="1" customWidth="1"/>
    <col min="17" max="17" width="18.7109375" bestFit="1" customWidth="1"/>
    <col min="18" max="18" width="11.28515625" bestFit="1" customWidth="1"/>
  </cols>
  <sheetData>
    <row r="1" spans="1:18" ht="30" customHeight="1" x14ac:dyDescent="0.35">
      <c r="A1" s="112" t="s">
        <v>109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8" ht="25.5" x14ac:dyDescent="0.35">
      <c r="A2" s="113" t="s">
        <v>117</v>
      </c>
      <c r="B2" s="114"/>
      <c r="C2" s="114"/>
      <c r="D2" s="114"/>
      <c r="E2" s="114"/>
      <c r="F2" s="114"/>
      <c r="G2" s="114"/>
      <c r="H2" s="114"/>
      <c r="I2" s="114"/>
      <c r="J2" s="115"/>
    </row>
    <row r="3" spans="1:18" ht="49.5" customHeight="1" x14ac:dyDescent="0.3">
      <c r="A3" s="121" t="s">
        <v>122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8" ht="42" customHeight="1" x14ac:dyDescent="0.35">
      <c r="A4" s="56"/>
      <c r="B4" s="57">
        <v>1</v>
      </c>
      <c r="C4" s="57">
        <v>2</v>
      </c>
      <c r="D4" s="57">
        <v>3</v>
      </c>
      <c r="E4" s="57">
        <v>4</v>
      </c>
      <c r="F4" s="57">
        <v>5</v>
      </c>
      <c r="G4" s="57">
        <v>6</v>
      </c>
      <c r="H4" s="57">
        <v>7</v>
      </c>
      <c r="I4" s="70" t="s">
        <v>133</v>
      </c>
      <c r="J4" s="59"/>
    </row>
    <row r="5" spans="1:18" ht="71.25" customHeight="1" x14ac:dyDescent="0.25">
      <c r="A5" s="60" t="s">
        <v>0</v>
      </c>
      <c r="B5" s="60" t="s">
        <v>19</v>
      </c>
      <c r="C5" s="61" t="s">
        <v>1</v>
      </c>
      <c r="D5" s="62" t="s">
        <v>7</v>
      </c>
      <c r="E5" s="71" t="s">
        <v>118</v>
      </c>
      <c r="F5" s="72" t="s">
        <v>119</v>
      </c>
      <c r="G5" s="86" t="s">
        <v>132</v>
      </c>
      <c r="H5" s="73" t="s">
        <v>10</v>
      </c>
      <c r="I5" s="73" t="s">
        <v>13</v>
      </c>
      <c r="J5" s="60" t="s">
        <v>0</v>
      </c>
    </row>
    <row r="6" spans="1:18" ht="18.75" x14ac:dyDescent="0.3">
      <c r="A6" s="64"/>
      <c r="B6" s="64"/>
      <c r="C6" s="64"/>
      <c r="D6" s="65" t="s">
        <v>91</v>
      </c>
      <c r="E6" s="65" t="s">
        <v>91</v>
      </c>
      <c r="F6" s="65" t="s">
        <v>91</v>
      </c>
      <c r="G6" s="65" t="s">
        <v>91</v>
      </c>
      <c r="H6" s="65" t="s">
        <v>91</v>
      </c>
      <c r="I6" s="65" t="s">
        <v>91</v>
      </c>
      <c r="J6" s="64"/>
    </row>
    <row r="7" spans="1:18" ht="18.75" x14ac:dyDescent="0.3">
      <c r="A7" s="66">
        <v>1</v>
      </c>
      <c r="B7" s="64" t="s">
        <v>34</v>
      </c>
      <c r="C7" s="66">
        <v>17</v>
      </c>
      <c r="D7" s="64">
        <v>2356175457.552</v>
      </c>
      <c r="E7" s="64">
        <f>-113650837.4599</f>
        <v>-113650837.45990001</v>
      </c>
      <c r="F7" s="64">
        <v>8974111.3511999995</v>
      </c>
      <c r="G7" s="64">
        <v>70954487.067000002</v>
      </c>
      <c r="H7" s="74">
        <v>870479466.85570002</v>
      </c>
      <c r="I7" s="64">
        <f>SUM(D7:H7)</f>
        <v>3192932685.3660002</v>
      </c>
      <c r="J7" s="67">
        <v>1</v>
      </c>
      <c r="M7" s="18"/>
      <c r="N7" s="75"/>
      <c r="O7" s="82"/>
      <c r="P7" s="83"/>
      <c r="Q7" s="82"/>
      <c r="R7" s="17"/>
    </row>
    <row r="8" spans="1:18" ht="18.75" x14ac:dyDescent="0.3">
      <c r="A8" s="66">
        <v>2</v>
      </c>
      <c r="B8" s="64" t="s">
        <v>35</v>
      </c>
      <c r="C8" s="66">
        <v>21</v>
      </c>
      <c r="D8" s="64">
        <v>2971977173.4251003</v>
      </c>
      <c r="E8" s="64">
        <f>-140392210.98</f>
        <v>-140392210.97999999</v>
      </c>
      <c r="F8" s="64">
        <v>11319553.4747</v>
      </c>
      <c r="G8" s="64">
        <v>89498901.8072</v>
      </c>
      <c r="H8" s="74">
        <v>1036288108.2228</v>
      </c>
      <c r="I8" s="64">
        <f t="shared" ref="I8:I44" si="0">SUM(D8:H8)</f>
        <v>3968691525.9498005</v>
      </c>
      <c r="J8" s="67">
        <v>2</v>
      </c>
      <c r="M8" s="17"/>
      <c r="O8" s="82"/>
      <c r="P8" s="83"/>
      <c r="Q8" s="82"/>
    </row>
    <row r="9" spans="1:18" ht="18.75" x14ac:dyDescent="0.3">
      <c r="A9" s="66">
        <v>3</v>
      </c>
      <c r="B9" s="64" t="s">
        <v>36</v>
      </c>
      <c r="C9" s="66">
        <v>31</v>
      </c>
      <c r="D9" s="64">
        <v>3958498953.4431</v>
      </c>
      <c r="E9" s="64">
        <f>-207245644.78</f>
        <v>-207245644.78</v>
      </c>
      <c r="F9" s="64">
        <v>15076980.060699999</v>
      </c>
      <c r="G9" s="64">
        <v>119207278.00500001</v>
      </c>
      <c r="H9" s="74">
        <v>1442412571.0044999</v>
      </c>
      <c r="I9" s="64">
        <f t="shared" si="0"/>
        <v>5327950137.7332993</v>
      </c>
      <c r="J9" s="67">
        <v>3</v>
      </c>
      <c r="O9" s="82"/>
      <c r="P9" s="83"/>
      <c r="Q9" s="82"/>
    </row>
    <row r="10" spans="1:18" ht="18.75" x14ac:dyDescent="0.3">
      <c r="A10" s="66">
        <v>4</v>
      </c>
      <c r="B10" s="64" t="s">
        <v>37</v>
      </c>
      <c r="C10" s="66">
        <v>21</v>
      </c>
      <c r="D10" s="64">
        <v>2988038053.1578002</v>
      </c>
      <c r="E10" s="64">
        <f>-140392210.9803</f>
        <v>-140392210.98030001</v>
      </c>
      <c r="F10" s="64">
        <v>11380725.5419</v>
      </c>
      <c r="G10" s="64">
        <v>89982563.361399993</v>
      </c>
      <c r="H10" s="74">
        <v>1160631836.1758001</v>
      </c>
      <c r="I10" s="64">
        <f t="shared" si="0"/>
        <v>4109640967.2566004</v>
      </c>
      <c r="J10" s="67">
        <v>4</v>
      </c>
      <c r="O10" s="82"/>
      <c r="P10" s="83"/>
      <c r="Q10" s="82"/>
    </row>
    <row r="11" spans="1:18" ht="18.75" x14ac:dyDescent="0.3">
      <c r="A11" s="66">
        <v>5</v>
      </c>
      <c r="B11" s="64" t="s">
        <v>38</v>
      </c>
      <c r="C11" s="66">
        <v>20</v>
      </c>
      <c r="D11" s="64">
        <v>3392014485.8063002</v>
      </c>
      <c r="E11" s="64">
        <f>-133706867.6001</f>
        <v>-133706867.6001</v>
      </c>
      <c r="F11" s="64">
        <v>12919375.593699999</v>
      </c>
      <c r="G11" s="64">
        <v>102148015.84220001</v>
      </c>
      <c r="H11" s="74">
        <v>1279376269.2772</v>
      </c>
      <c r="I11" s="64">
        <f t="shared" si="0"/>
        <v>4652751278.9193001</v>
      </c>
      <c r="J11" s="67">
        <v>5</v>
      </c>
      <c r="O11" s="82"/>
      <c r="P11" s="83"/>
      <c r="Q11" s="82"/>
    </row>
    <row r="12" spans="1:18" ht="18.75" x14ac:dyDescent="0.3">
      <c r="A12" s="66">
        <v>6</v>
      </c>
      <c r="B12" s="64" t="s">
        <v>39</v>
      </c>
      <c r="C12" s="66">
        <v>8</v>
      </c>
      <c r="D12" s="64">
        <v>1380674054.7590001</v>
      </c>
      <c r="E12" s="64">
        <f>-53482747.0399</f>
        <v>-53482747.039899997</v>
      </c>
      <c r="F12" s="64">
        <v>5258658.7588999998</v>
      </c>
      <c r="G12" s="64">
        <v>41577981.405500002</v>
      </c>
      <c r="H12" s="74">
        <v>470305091.29460001</v>
      </c>
      <c r="I12" s="64">
        <f t="shared" si="0"/>
        <v>1844333039.1780999</v>
      </c>
      <c r="J12" s="67">
        <v>6</v>
      </c>
      <c r="O12" s="82"/>
      <c r="P12" s="83"/>
      <c r="Q12" s="82"/>
    </row>
    <row r="13" spans="1:18" ht="18.75" x14ac:dyDescent="0.3">
      <c r="A13" s="66">
        <v>7</v>
      </c>
      <c r="B13" s="64" t="s">
        <v>40</v>
      </c>
      <c r="C13" s="66">
        <v>23</v>
      </c>
      <c r="D13" s="64">
        <v>3691036738.3477001</v>
      </c>
      <c r="E13" s="64">
        <f>-432839894.7802</f>
        <v>-432839894.7802</v>
      </c>
      <c r="F13" s="64">
        <v>14058280.161699999</v>
      </c>
      <c r="G13" s="64">
        <v>55576425.277649999</v>
      </c>
      <c r="H13" s="74">
        <v>1182798492.1118</v>
      </c>
      <c r="I13" s="64">
        <f t="shared" si="0"/>
        <v>4510630041.1186495</v>
      </c>
      <c r="J13" s="67">
        <v>7</v>
      </c>
      <c r="O13" s="82"/>
      <c r="P13" s="83"/>
      <c r="Q13" s="82"/>
    </row>
    <row r="14" spans="1:18" ht="18.75" x14ac:dyDescent="0.3">
      <c r="A14" s="66">
        <v>8</v>
      </c>
      <c r="B14" s="64" t="s">
        <v>41</v>
      </c>
      <c r="C14" s="66">
        <v>27</v>
      </c>
      <c r="D14" s="64">
        <v>4007359782.3516002</v>
      </c>
      <c r="E14" s="64">
        <f>-180504271.2602</f>
        <v>-180504271.26019999</v>
      </c>
      <c r="F14" s="64">
        <v>15263079.324999999</v>
      </c>
      <c r="G14" s="64">
        <v>120678685.8505</v>
      </c>
      <c r="H14" s="74">
        <v>1316098271.6949999</v>
      </c>
      <c r="I14" s="64">
        <f t="shared" si="0"/>
        <v>5278895547.9618998</v>
      </c>
      <c r="J14" s="67">
        <v>8</v>
      </c>
      <c r="O14" s="82"/>
      <c r="P14" s="83"/>
      <c r="Q14" s="82"/>
    </row>
    <row r="15" spans="1:18" ht="18.75" x14ac:dyDescent="0.3">
      <c r="A15" s="66">
        <v>9</v>
      </c>
      <c r="B15" s="64" t="s">
        <v>42</v>
      </c>
      <c r="C15" s="66">
        <v>18</v>
      </c>
      <c r="D15" s="64">
        <v>2583418636.2551999</v>
      </c>
      <c r="E15" s="64">
        <f>-197438713.2001</f>
        <v>-197438713.2001</v>
      </c>
      <c r="F15" s="64">
        <v>9839626.5162000004</v>
      </c>
      <c r="G15" s="64">
        <v>77797747.883299991</v>
      </c>
      <c r="H15" s="74">
        <v>882269818.09000003</v>
      </c>
      <c r="I15" s="64">
        <f t="shared" si="0"/>
        <v>3355887115.5446</v>
      </c>
      <c r="J15" s="67">
        <v>9</v>
      </c>
      <c r="O15" s="82"/>
      <c r="P15" s="83"/>
      <c r="Q15" s="82"/>
    </row>
    <row r="16" spans="1:18" ht="18.75" x14ac:dyDescent="0.3">
      <c r="A16" s="66">
        <v>10</v>
      </c>
      <c r="B16" s="64" t="s">
        <v>43</v>
      </c>
      <c r="C16" s="66">
        <v>25</v>
      </c>
      <c r="D16" s="64">
        <v>3310280463.3814001</v>
      </c>
      <c r="E16" s="64">
        <f>-167133584.4999</f>
        <v>-167133584.49990001</v>
      </c>
      <c r="F16" s="64">
        <v>12608070.161800001</v>
      </c>
      <c r="G16" s="64">
        <v>99686656.006300002</v>
      </c>
      <c r="H16" s="74">
        <v>1344281365.5919001</v>
      </c>
      <c r="I16" s="64">
        <f t="shared" si="0"/>
        <v>4599722970.6415005</v>
      </c>
      <c r="J16" s="67">
        <v>10</v>
      </c>
      <c r="O16" s="82"/>
      <c r="P16" s="83"/>
      <c r="Q16" s="82"/>
    </row>
    <row r="17" spans="1:17" ht="18.75" x14ac:dyDescent="0.3">
      <c r="A17" s="66">
        <v>11</v>
      </c>
      <c r="B17" s="64" t="s">
        <v>44</v>
      </c>
      <c r="C17" s="66">
        <v>13</v>
      </c>
      <c r="D17" s="64">
        <v>1911046612.5791001</v>
      </c>
      <c r="E17" s="64">
        <f>-168116505.0696</f>
        <v>-168116505.06959999</v>
      </c>
      <c r="F17" s="64">
        <v>7278721.5584000004</v>
      </c>
      <c r="G17" s="64">
        <v>57549760.024300002</v>
      </c>
      <c r="H17" s="74">
        <v>690706746.04100001</v>
      </c>
      <c r="I17" s="64">
        <f t="shared" si="0"/>
        <v>2498465335.1332002</v>
      </c>
      <c r="J17" s="67">
        <v>11</v>
      </c>
      <c r="O17" s="82"/>
      <c r="P17" s="83"/>
      <c r="Q17" s="82"/>
    </row>
    <row r="18" spans="1:17" ht="18.75" x14ac:dyDescent="0.3">
      <c r="A18" s="66">
        <v>12</v>
      </c>
      <c r="B18" s="64" t="s">
        <v>45</v>
      </c>
      <c r="C18" s="66">
        <v>18</v>
      </c>
      <c r="D18" s="64">
        <v>2532812603.5987</v>
      </c>
      <c r="E18" s="64">
        <f>-120336180.8399</f>
        <v>-120336180.8399</v>
      </c>
      <c r="F18" s="64">
        <v>9646880.1862000003</v>
      </c>
      <c r="G18" s="64">
        <v>76273784.513399988</v>
      </c>
      <c r="H18" s="74">
        <v>1008457721.9529999</v>
      </c>
      <c r="I18" s="64">
        <f t="shared" si="0"/>
        <v>3506854809.4114003</v>
      </c>
      <c r="J18" s="67">
        <v>12</v>
      </c>
      <c r="O18" s="82"/>
      <c r="P18" s="83"/>
      <c r="Q18" s="82"/>
    </row>
    <row r="19" spans="1:17" ht="18.75" x14ac:dyDescent="0.3">
      <c r="A19" s="66">
        <v>13</v>
      </c>
      <c r="B19" s="64" t="s">
        <v>46</v>
      </c>
      <c r="C19" s="66">
        <v>16</v>
      </c>
      <c r="D19" s="64">
        <v>2011145058.0589001</v>
      </c>
      <c r="E19" s="64">
        <f>-106965494.0799</f>
        <v>-106965494.0799</v>
      </c>
      <c r="F19" s="64">
        <v>7659972.7056</v>
      </c>
      <c r="G19" s="64">
        <v>60564150.923100002</v>
      </c>
      <c r="H19" s="74">
        <v>820396843.40840006</v>
      </c>
      <c r="I19" s="64">
        <f t="shared" si="0"/>
        <v>2792800531.0160999</v>
      </c>
      <c r="J19" s="67">
        <v>13</v>
      </c>
      <c r="O19" s="82"/>
      <c r="P19" s="83"/>
      <c r="Q19" s="82"/>
    </row>
    <row r="20" spans="1:17" ht="18.75" x14ac:dyDescent="0.3">
      <c r="A20" s="66">
        <v>14</v>
      </c>
      <c r="B20" s="64" t="s">
        <v>47</v>
      </c>
      <c r="C20" s="66">
        <v>17</v>
      </c>
      <c r="D20" s="64">
        <v>2573375260.5866003</v>
      </c>
      <c r="E20" s="64">
        <f>-113650837.4601</f>
        <v>-113650837.4601</v>
      </c>
      <c r="F20" s="64">
        <v>9801373.6890999991</v>
      </c>
      <c r="G20" s="64">
        <v>77495299.028500006</v>
      </c>
      <c r="H20" s="74">
        <v>919352940.4224</v>
      </c>
      <c r="I20" s="64">
        <f t="shared" si="0"/>
        <v>3466374036.2665</v>
      </c>
      <c r="J20" s="67">
        <v>14</v>
      </c>
      <c r="O20" s="82"/>
      <c r="P20" s="83"/>
      <c r="Q20" s="82"/>
    </row>
    <row r="21" spans="1:17" ht="18.75" x14ac:dyDescent="0.3">
      <c r="A21" s="66">
        <v>15</v>
      </c>
      <c r="B21" s="64" t="s">
        <v>48</v>
      </c>
      <c r="C21" s="66">
        <v>11</v>
      </c>
      <c r="D21" s="64">
        <v>1763278525.8676</v>
      </c>
      <c r="E21" s="64">
        <f>-181505892.04</f>
        <v>-181505892.03999999</v>
      </c>
      <c r="F21" s="64">
        <v>6715908.0975000001</v>
      </c>
      <c r="G21" s="64">
        <v>53099833.0189</v>
      </c>
      <c r="H21" s="74">
        <v>611892365.20140004</v>
      </c>
      <c r="I21" s="64">
        <f t="shared" si="0"/>
        <v>2253480740.1454</v>
      </c>
      <c r="J21" s="67">
        <v>15</v>
      </c>
      <c r="O21" s="82"/>
      <c r="P21" s="83"/>
      <c r="Q21" s="82"/>
    </row>
    <row r="22" spans="1:17" ht="18.75" x14ac:dyDescent="0.3">
      <c r="A22" s="66">
        <v>16</v>
      </c>
      <c r="B22" s="64" t="s">
        <v>49</v>
      </c>
      <c r="C22" s="66">
        <v>27</v>
      </c>
      <c r="D22" s="64">
        <v>3448895291.7325001</v>
      </c>
      <c r="E22" s="64">
        <f>-180504271.26</f>
        <v>-180504271.25999999</v>
      </c>
      <c r="F22" s="64">
        <v>13136021.0415</v>
      </c>
      <c r="G22" s="64">
        <v>103860939.3831</v>
      </c>
      <c r="H22" s="74">
        <v>1279142007.1224</v>
      </c>
      <c r="I22" s="64">
        <f t="shared" si="0"/>
        <v>4664529988.0194998</v>
      </c>
      <c r="J22" s="67">
        <v>16</v>
      </c>
      <c r="O22" s="82"/>
      <c r="P22" s="83"/>
      <c r="Q22" s="82"/>
    </row>
    <row r="23" spans="1:17" ht="18.75" x14ac:dyDescent="0.3">
      <c r="A23" s="66">
        <v>17</v>
      </c>
      <c r="B23" s="64" t="s">
        <v>50</v>
      </c>
      <c r="C23" s="66">
        <v>27</v>
      </c>
      <c r="D23" s="64">
        <v>3623389228.4373002</v>
      </c>
      <c r="E23" s="64">
        <f>-180504271.26</f>
        <v>-180504271.25999999</v>
      </c>
      <c r="F23" s="64">
        <v>13800626.902000001</v>
      </c>
      <c r="G23" s="64">
        <v>109115695.65989999</v>
      </c>
      <c r="H23" s="74">
        <v>1355269152.9907999</v>
      </c>
      <c r="I23" s="64">
        <f t="shared" si="0"/>
        <v>4921070432.7300005</v>
      </c>
      <c r="J23" s="67">
        <v>17</v>
      </c>
      <c r="O23" s="82"/>
      <c r="P23" s="83"/>
      <c r="Q23" s="82"/>
    </row>
    <row r="24" spans="1:17" ht="18.75" x14ac:dyDescent="0.3">
      <c r="A24" s="66">
        <v>18</v>
      </c>
      <c r="B24" s="64" t="s">
        <v>51</v>
      </c>
      <c r="C24" s="66">
        <v>23</v>
      </c>
      <c r="D24" s="64">
        <v>4074844286.2369003</v>
      </c>
      <c r="E24" s="64">
        <f>-153762897.7402</f>
        <v>-153762897.74020001</v>
      </c>
      <c r="F24" s="64">
        <v>15520111.7333</v>
      </c>
      <c r="G24" s="64">
        <v>122710931.939</v>
      </c>
      <c r="H24" s="74">
        <v>1646972267.8557</v>
      </c>
      <c r="I24" s="64">
        <f t="shared" si="0"/>
        <v>5706284700.0247002</v>
      </c>
      <c r="J24" s="67">
        <v>18</v>
      </c>
      <c r="O24" s="82"/>
      <c r="P24" s="83"/>
      <c r="Q24" s="82"/>
    </row>
    <row r="25" spans="1:17" ht="18.75" x14ac:dyDescent="0.3">
      <c r="A25" s="66">
        <v>19</v>
      </c>
      <c r="B25" s="64" t="s">
        <v>52</v>
      </c>
      <c r="C25" s="66">
        <v>44</v>
      </c>
      <c r="D25" s="64">
        <v>6487501341.1896</v>
      </c>
      <c r="E25" s="64">
        <f>-806819553.7601</f>
        <v>-806819553.76010001</v>
      </c>
      <c r="F25" s="64">
        <v>24709348.041499998</v>
      </c>
      <c r="G25" s="64">
        <v>195366320.67699999</v>
      </c>
      <c r="H25" s="74">
        <v>2701552445.5275998</v>
      </c>
      <c r="I25" s="64">
        <f t="shared" si="0"/>
        <v>8602309901.6756001</v>
      </c>
      <c r="J25" s="67">
        <v>19</v>
      </c>
      <c r="O25" s="82"/>
      <c r="P25" s="83"/>
      <c r="Q25" s="82"/>
    </row>
    <row r="26" spans="1:17" ht="18.75" x14ac:dyDescent="0.3">
      <c r="A26" s="66">
        <v>20</v>
      </c>
      <c r="B26" s="64" t="s">
        <v>53</v>
      </c>
      <c r="C26" s="66">
        <v>34</v>
      </c>
      <c r="D26" s="64">
        <v>4939045197.6073999</v>
      </c>
      <c r="E26" s="64">
        <f>-227301674.9199</f>
        <v>-227301674.9199</v>
      </c>
      <c r="F26" s="64">
        <v>18811647.252700001</v>
      </c>
      <c r="G26" s="64">
        <v>148735705.34549999</v>
      </c>
      <c r="H26" s="74">
        <v>1715321362.4091001</v>
      </c>
      <c r="I26" s="64">
        <f t="shared" si="0"/>
        <v>6594612237.6947994</v>
      </c>
      <c r="J26" s="67">
        <v>20</v>
      </c>
      <c r="O26" s="82"/>
      <c r="P26" s="83"/>
      <c r="Q26" s="82"/>
    </row>
    <row r="27" spans="1:17" ht="18.75" x14ac:dyDescent="0.3">
      <c r="A27" s="66">
        <v>21</v>
      </c>
      <c r="B27" s="64" t="s">
        <v>54</v>
      </c>
      <c r="C27" s="66">
        <v>21</v>
      </c>
      <c r="D27" s="64">
        <v>3117067672.5345998</v>
      </c>
      <c r="E27" s="64">
        <f>-140392210.9799</f>
        <v>-140392210.9799</v>
      </c>
      <c r="F27" s="64">
        <v>11872168.6423</v>
      </c>
      <c r="G27" s="64">
        <v>46934097.617550001</v>
      </c>
      <c r="H27" s="74">
        <v>1017641776.8951</v>
      </c>
      <c r="I27" s="64">
        <f t="shared" si="0"/>
        <v>4053123504.70965</v>
      </c>
      <c r="J27" s="67">
        <v>21</v>
      </c>
      <c r="O27" s="82"/>
      <c r="P27" s="83"/>
      <c r="Q27" s="82"/>
    </row>
    <row r="28" spans="1:17" ht="18.75" x14ac:dyDescent="0.3">
      <c r="A28" s="66">
        <v>22</v>
      </c>
      <c r="B28" s="64" t="s">
        <v>55</v>
      </c>
      <c r="C28" s="66">
        <v>21</v>
      </c>
      <c r="D28" s="64">
        <v>3221717760.1417999</v>
      </c>
      <c r="E28" s="64">
        <f>-514678208.7301</f>
        <v>-514678208.73009998</v>
      </c>
      <c r="F28" s="64">
        <v>12270755.910599999</v>
      </c>
      <c r="G28" s="64">
        <v>48509827.740899995</v>
      </c>
      <c r="H28" s="74">
        <v>1055305586.0339</v>
      </c>
      <c r="I28" s="64">
        <f t="shared" si="0"/>
        <v>3823125721.0971003</v>
      </c>
      <c r="J28" s="67">
        <v>22</v>
      </c>
      <c r="O28" s="82"/>
      <c r="P28" s="83"/>
      <c r="Q28" s="82"/>
    </row>
    <row r="29" spans="1:17" ht="18.75" x14ac:dyDescent="0.3">
      <c r="A29" s="66">
        <v>23</v>
      </c>
      <c r="B29" s="64" t="s">
        <v>56</v>
      </c>
      <c r="C29" s="66">
        <v>16</v>
      </c>
      <c r="D29" s="64">
        <v>2279702773.8701</v>
      </c>
      <c r="E29" s="64">
        <f>-106965494.0801</f>
        <v>-106965494.0801</v>
      </c>
      <c r="F29" s="64">
        <v>8682845.1060000006</v>
      </c>
      <c r="G29" s="64">
        <v>34325784.284699999</v>
      </c>
      <c r="H29" s="74">
        <v>796507626.34829998</v>
      </c>
      <c r="I29" s="64">
        <f t="shared" si="0"/>
        <v>3012253535.5289998</v>
      </c>
      <c r="J29" s="67">
        <v>23</v>
      </c>
      <c r="O29" s="82"/>
      <c r="P29" s="83"/>
      <c r="Q29" s="82"/>
    </row>
    <row r="30" spans="1:17" ht="18.75" x14ac:dyDescent="0.3">
      <c r="A30" s="66">
        <v>24</v>
      </c>
      <c r="B30" s="64" t="s">
        <v>57</v>
      </c>
      <c r="C30" s="66">
        <v>20</v>
      </c>
      <c r="D30" s="64">
        <v>3883464985.3260999</v>
      </c>
      <c r="E30" s="64">
        <f>-133706867.6</f>
        <v>-133706867.59999999</v>
      </c>
      <c r="F30" s="64">
        <v>14791193.5403</v>
      </c>
      <c r="G30" s="64">
        <v>116947685.36589999</v>
      </c>
      <c r="H30" s="74">
        <v>5362753330.2909002</v>
      </c>
      <c r="I30" s="64">
        <f t="shared" si="0"/>
        <v>9244250326.9232006</v>
      </c>
      <c r="J30" s="67">
        <v>24</v>
      </c>
      <c r="O30" s="82"/>
      <c r="P30" s="83"/>
      <c r="Q30" s="82"/>
    </row>
    <row r="31" spans="1:17" ht="18.75" x14ac:dyDescent="0.3">
      <c r="A31" s="66">
        <v>25</v>
      </c>
      <c r="B31" s="64" t="s">
        <v>58</v>
      </c>
      <c r="C31" s="66">
        <v>13</v>
      </c>
      <c r="D31" s="64">
        <v>2033887791.0351</v>
      </c>
      <c r="E31" s="64">
        <f>-165385718.4201</f>
        <v>-165385718.4201</v>
      </c>
      <c r="F31" s="64">
        <v>7746594.3607999999</v>
      </c>
      <c r="G31" s="64">
        <v>61249031.562100001</v>
      </c>
      <c r="H31" s="74">
        <v>648184556.87150002</v>
      </c>
      <c r="I31" s="64">
        <f t="shared" si="0"/>
        <v>2585682255.4094</v>
      </c>
      <c r="J31" s="67">
        <v>25</v>
      </c>
      <c r="O31" s="82"/>
      <c r="P31" s="83"/>
      <c r="Q31" s="82"/>
    </row>
    <row r="32" spans="1:17" ht="18.75" x14ac:dyDescent="0.3">
      <c r="A32" s="66">
        <v>26</v>
      </c>
      <c r="B32" s="64" t="s">
        <v>59</v>
      </c>
      <c r="C32" s="66">
        <v>25</v>
      </c>
      <c r="D32" s="64">
        <v>3764569412.9320998</v>
      </c>
      <c r="E32" s="64">
        <f>-167133584.4998</f>
        <v>-167133584.4998</v>
      </c>
      <c r="F32" s="64">
        <v>14338348.612299999</v>
      </c>
      <c r="G32" s="64">
        <v>56683616.42295</v>
      </c>
      <c r="H32" s="74">
        <v>1231983953.2969</v>
      </c>
      <c r="I32" s="64">
        <f t="shared" si="0"/>
        <v>4900441746.7644491</v>
      </c>
      <c r="J32" s="67">
        <v>26</v>
      </c>
      <c r="O32" s="82"/>
      <c r="P32" s="83"/>
      <c r="Q32" s="82"/>
    </row>
    <row r="33" spans="1:17" ht="18.75" x14ac:dyDescent="0.3">
      <c r="A33" s="66">
        <v>27</v>
      </c>
      <c r="B33" s="64" t="s">
        <v>60</v>
      </c>
      <c r="C33" s="66">
        <v>20</v>
      </c>
      <c r="D33" s="64">
        <v>2685630207.8736</v>
      </c>
      <c r="E33" s="64">
        <f>-365260768.4001</f>
        <v>-365260768.40009999</v>
      </c>
      <c r="F33" s="64">
        <v>10228926.057800001</v>
      </c>
      <c r="G33" s="64">
        <v>80875774.017900005</v>
      </c>
      <c r="H33" s="74">
        <v>1102572033.3032</v>
      </c>
      <c r="I33" s="64">
        <f t="shared" si="0"/>
        <v>3514046172.8523998</v>
      </c>
      <c r="J33" s="67">
        <v>27</v>
      </c>
      <c r="O33" s="82"/>
      <c r="P33" s="83"/>
      <c r="Q33" s="82"/>
    </row>
    <row r="34" spans="1:17" ht="18.75" x14ac:dyDescent="0.3">
      <c r="A34" s="66">
        <v>28</v>
      </c>
      <c r="B34" s="64" t="s">
        <v>61</v>
      </c>
      <c r="C34" s="66">
        <v>18</v>
      </c>
      <c r="D34" s="64">
        <v>2564946726.5488</v>
      </c>
      <c r="E34" s="64">
        <f>-214690434.4798</f>
        <v>-214690434.47979999</v>
      </c>
      <c r="F34" s="64">
        <v>9769271.4100000001</v>
      </c>
      <c r="G34" s="64">
        <v>77241479.938699991</v>
      </c>
      <c r="H34" s="74">
        <v>978851077.49469995</v>
      </c>
      <c r="I34" s="64">
        <f t="shared" si="0"/>
        <v>3416118120.9124002</v>
      </c>
      <c r="J34" s="67">
        <v>28</v>
      </c>
      <c r="O34" s="82"/>
      <c r="P34" s="83"/>
      <c r="Q34" s="82"/>
    </row>
    <row r="35" spans="1:17" ht="18.75" x14ac:dyDescent="0.3">
      <c r="A35" s="66">
        <v>29</v>
      </c>
      <c r="B35" s="64" t="s">
        <v>62</v>
      </c>
      <c r="C35" s="66">
        <v>30</v>
      </c>
      <c r="D35" s="64">
        <v>3474285191.2160001</v>
      </c>
      <c r="E35" s="64">
        <f>-364617591.8998</f>
        <v>-364617591.8998</v>
      </c>
      <c r="F35" s="64">
        <v>13232725.123</v>
      </c>
      <c r="G35" s="64">
        <v>104625537.49010001</v>
      </c>
      <c r="H35" s="74">
        <v>1333849982.2983</v>
      </c>
      <c r="I35" s="64">
        <f t="shared" si="0"/>
        <v>4561375844.2276001</v>
      </c>
      <c r="J35" s="67">
        <v>29</v>
      </c>
      <c r="O35" s="82"/>
      <c r="P35" s="83"/>
      <c r="Q35" s="82"/>
    </row>
    <row r="36" spans="1:17" ht="18.75" x14ac:dyDescent="0.3">
      <c r="A36" s="66">
        <v>30</v>
      </c>
      <c r="B36" s="64" t="s">
        <v>63</v>
      </c>
      <c r="C36" s="66">
        <v>33</v>
      </c>
      <c r="D36" s="64">
        <v>4382539689.9352007</v>
      </c>
      <c r="E36" s="64">
        <f>-387993494.4598</f>
        <v>-387993494.4598</v>
      </c>
      <c r="F36" s="64">
        <v>16692050.2688</v>
      </c>
      <c r="G36" s="64">
        <v>131976952.2058</v>
      </c>
      <c r="H36" s="74">
        <v>2119426300.7518001</v>
      </c>
      <c r="I36" s="64">
        <f t="shared" si="0"/>
        <v>6262641498.7018013</v>
      </c>
      <c r="J36" s="67">
        <v>30</v>
      </c>
      <c r="O36" s="82"/>
      <c r="P36" s="83"/>
      <c r="Q36" s="82"/>
    </row>
    <row r="37" spans="1:17" ht="18.75" x14ac:dyDescent="0.3">
      <c r="A37" s="66">
        <v>31</v>
      </c>
      <c r="B37" s="64" t="s">
        <v>64</v>
      </c>
      <c r="C37" s="66">
        <v>17</v>
      </c>
      <c r="D37" s="64">
        <v>2747265186.8528996</v>
      </c>
      <c r="E37" s="64">
        <f>-113650837.4599</f>
        <v>-113650837.45990001</v>
      </c>
      <c r="F37" s="64">
        <v>10463679.018300001</v>
      </c>
      <c r="G37" s="64">
        <v>41365932.987999998</v>
      </c>
      <c r="H37" s="74">
        <v>921832138.62240005</v>
      </c>
      <c r="I37" s="64">
        <f t="shared" si="0"/>
        <v>3607276100.0216999</v>
      </c>
      <c r="J37" s="67">
        <v>31</v>
      </c>
      <c r="O37" s="82"/>
      <c r="P37" s="83"/>
      <c r="Q37" s="82"/>
    </row>
    <row r="38" spans="1:17" ht="18.75" x14ac:dyDescent="0.3">
      <c r="A38" s="66">
        <v>32</v>
      </c>
      <c r="B38" s="64" t="s">
        <v>65</v>
      </c>
      <c r="C38" s="66">
        <v>23</v>
      </c>
      <c r="D38" s="64">
        <v>3405387498.9682002</v>
      </c>
      <c r="E38" s="64">
        <f>-153762897.7401</f>
        <v>-153762897.7401</v>
      </c>
      <c r="F38" s="64">
        <v>12970310.217</v>
      </c>
      <c r="G38" s="64">
        <v>102550734.2757</v>
      </c>
      <c r="H38" s="74">
        <v>2231169666.6943998</v>
      </c>
      <c r="I38" s="64">
        <f t="shared" si="0"/>
        <v>5598315312.4152002</v>
      </c>
      <c r="J38" s="67">
        <v>32</v>
      </c>
      <c r="O38" s="82"/>
      <c r="P38" s="83"/>
      <c r="Q38" s="82"/>
    </row>
    <row r="39" spans="1:17" ht="18.75" x14ac:dyDescent="0.3">
      <c r="A39" s="66">
        <v>33</v>
      </c>
      <c r="B39" s="64" t="s">
        <v>66</v>
      </c>
      <c r="C39" s="66">
        <v>23</v>
      </c>
      <c r="D39" s="64">
        <v>3429752283.494</v>
      </c>
      <c r="E39" s="64">
        <f>-225740974.0798</f>
        <v>-225740974.07980001</v>
      </c>
      <c r="F39" s="64">
        <v>13063109.8804</v>
      </c>
      <c r="G39" s="64">
        <v>103284461.8012</v>
      </c>
      <c r="H39" s="74">
        <v>1145306490.7693999</v>
      </c>
      <c r="I39" s="64">
        <f t="shared" si="0"/>
        <v>4465665371.8652</v>
      </c>
      <c r="J39" s="67">
        <v>33</v>
      </c>
      <c r="O39" s="82"/>
      <c r="P39" s="83"/>
      <c r="Q39" s="82"/>
    </row>
    <row r="40" spans="1:17" ht="18.75" x14ac:dyDescent="0.3">
      <c r="A40" s="66">
        <v>34</v>
      </c>
      <c r="B40" s="64" t="s">
        <v>67</v>
      </c>
      <c r="C40" s="66">
        <v>16</v>
      </c>
      <c r="D40" s="64">
        <v>2570610810.9252</v>
      </c>
      <c r="E40" s="64">
        <f>-106965494.08</f>
        <v>-106965494.08</v>
      </c>
      <c r="F40" s="64">
        <v>9790844.5589000005</v>
      </c>
      <c r="G40" s="64">
        <v>77412049.664500013</v>
      </c>
      <c r="H40" s="74">
        <v>769471940.50220001</v>
      </c>
      <c r="I40" s="64">
        <f t="shared" si="0"/>
        <v>3320320151.5708003</v>
      </c>
      <c r="J40" s="67">
        <v>34</v>
      </c>
      <c r="O40" s="82"/>
      <c r="P40" s="83"/>
      <c r="Q40" s="82"/>
    </row>
    <row r="41" spans="1:17" ht="18.75" x14ac:dyDescent="0.3">
      <c r="A41" s="66">
        <v>35</v>
      </c>
      <c r="B41" s="64" t="s">
        <v>68</v>
      </c>
      <c r="C41" s="66">
        <v>17</v>
      </c>
      <c r="D41" s="64">
        <v>2584523888.7793999</v>
      </c>
      <c r="E41" s="64">
        <f>-113650837.4599</f>
        <v>-113650837.45990001</v>
      </c>
      <c r="F41" s="64">
        <v>9843836.1601</v>
      </c>
      <c r="G41" s="64">
        <v>77831031.747999996</v>
      </c>
      <c r="H41" s="74">
        <v>817358069.64600003</v>
      </c>
      <c r="I41" s="64">
        <f t="shared" si="0"/>
        <v>3375905988.8736</v>
      </c>
      <c r="J41" s="67">
        <v>35</v>
      </c>
      <c r="O41" s="82"/>
      <c r="P41" s="83"/>
      <c r="Q41" s="82"/>
    </row>
    <row r="42" spans="1:17" ht="18.75" x14ac:dyDescent="0.3">
      <c r="A42" s="66">
        <v>36</v>
      </c>
      <c r="B42" s="64" t="s">
        <v>69</v>
      </c>
      <c r="C42" s="66">
        <v>14</v>
      </c>
      <c r="D42" s="64">
        <v>2335290104.1180997</v>
      </c>
      <c r="E42" s="64">
        <f>-93594807.3202</f>
        <v>-93594807.320199996</v>
      </c>
      <c r="F42" s="64">
        <v>8894564.0123999994</v>
      </c>
      <c r="G42" s="64">
        <v>70325540.044099987</v>
      </c>
      <c r="H42" s="74">
        <v>803834287.91219997</v>
      </c>
      <c r="I42" s="64">
        <f t="shared" si="0"/>
        <v>3124749688.7665997</v>
      </c>
      <c r="J42" s="67">
        <v>36</v>
      </c>
      <c r="O42" s="82"/>
      <c r="P42" s="83"/>
      <c r="Q42" s="82"/>
    </row>
    <row r="43" spans="1:17" ht="18.75" x14ac:dyDescent="0.3">
      <c r="A43" s="66">
        <v>37</v>
      </c>
      <c r="B43" s="64" t="s">
        <v>120</v>
      </c>
      <c r="C43" s="66">
        <v>6</v>
      </c>
      <c r="D43" s="64">
        <v>1031425903.6661</v>
      </c>
      <c r="E43" s="64">
        <f>-40112060.28</f>
        <v>-40112060.280000001</v>
      </c>
      <c r="F43" s="64">
        <v>3928455.7015999998</v>
      </c>
      <c r="G43" s="64">
        <v>31060630.780999999</v>
      </c>
      <c r="H43" s="74">
        <v>3124179110.8615999</v>
      </c>
      <c r="I43" s="64">
        <f t="shared" si="0"/>
        <v>4150482040.7302999</v>
      </c>
      <c r="J43" s="67">
        <v>37</v>
      </c>
      <c r="O43" s="82"/>
      <c r="P43" s="83"/>
      <c r="Q43" s="82"/>
    </row>
    <row r="44" spans="1:17" ht="18.75" x14ac:dyDescent="0.3">
      <c r="A44" s="66">
        <v>38</v>
      </c>
      <c r="B44" s="64" t="s">
        <v>126</v>
      </c>
      <c r="C44" s="66"/>
      <c r="D44" s="64">
        <v>0</v>
      </c>
      <c r="E44" s="64">
        <v>0</v>
      </c>
      <c r="F44" s="64">
        <v>0</v>
      </c>
      <c r="G44" s="64">
        <v>283395684.33174998</v>
      </c>
      <c r="H44" s="74">
        <v>0</v>
      </c>
      <c r="I44" s="64">
        <f t="shared" si="0"/>
        <v>283395684.33174998</v>
      </c>
      <c r="J44" s="67"/>
      <c r="O44" s="84"/>
      <c r="P44" s="84"/>
      <c r="Q44" s="85"/>
    </row>
    <row r="45" spans="1:17" ht="19.5" x14ac:dyDescent="0.35">
      <c r="A45" s="66"/>
      <c r="B45" s="68" t="s">
        <v>121</v>
      </c>
      <c r="C45" s="64"/>
      <c r="D45" s="69">
        <f>SUM(D7:D44)</f>
        <v>113516875092.59111</v>
      </c>
      <c r="E45" s="69">
        <f t="shared" ref="E45:I45" si="1">SUM(E7:E44)</f>
        <v>-7414556842.9796991</v>
      </c>
      <c r="F45" s="69">
        <f t="shared" si="1"/>
        <v>432358750.73420006</v>
      </c>
      <c r="G45" s="69">
        <f t="shared" si="1"/>
        <v>3418477015.2995996</v>
      </c>
      <c r="H45" s="69">
        <f t="shared" si="1"/>
        <v>49194233071.84391</v>
      </c>
      <c r="I45" s="69">
        <f t="shared" si="1"/>
        <v>159147387087.48911</v>
      </c>
      <c r="J45" s="67"/>
    </row>
    <row r="47" spans="1:17" x14ac:dyDescent="0.2">
      <c r="D47" s="17"/>
      <c r="F47" s="17"/>
      <c r="G47" s="17"/>
      <c r="H47" s="17"/>
      <c r="I47" s="17"/>
    </row>
    <row r="48" spans="1:17" x14ac:dyDescent="0.2">
      <c r="H48" s="17"/>
      <c r="I48" s="17"/>
    </row>
    <row r="49" spans="5:17" x14ac:dyDescent="0.2">
      <c r="F49" s="18"/>
      <c r="G49" s="18"/>
      <c r="I49" s="17"/>
    </row>
    <row r="50" spans="5:17" x14ac:dyDescent="0.2">
      <c r="F50" s="17"/>
      <c r="G50" s="17"/>
      <c r="H50" s="17"/>
      <c r="I50" s="17"/>
    </row>
    <row r="52" spans="5:17" x14ac:dyDescent="0.2">
      <c r="Q52" s="17">
        <f>Q44+I45</f>
        <v>159147387087.48911</v>
      </c>
    </row>
    <row r="54" spans="5:17" x14ac:dyDescent="0.2">
      <c r="E54" s="17"/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MONTHENTRY</vt:lpstr>
      <vt:lpstr>Sum &amp; FG</vt:lpstr>
      <vt:lpstr>SG Details</vt:lpstr>
      <vt:lpstr>Ecology to States August 2021</vt:lpstr>
      <vt:lpstr>sumLgcs</vt:lpstr>
      <vt:lpstr>acctmonth</vt:lpstr>
      <vt:lpstr>previuosmonth</vt:lpstr>
      <vt:lpstr>'SG Details'!Print_Area</vt:lpstr>
      <vt:lpstr>sumLgcs!Print_Area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 OJ</cp:lastModifiedBy>
  <cp:lastPrinted>2021-11-12T12:13:47Z</cp:lastPrinted>
  <dcterms:created xsi:type="dcterms:W3CDTF">2003-11-12T08:54:16Z</dcterms:created>
  <dcterms:modified xsi:type="dcterms:W3CDTF">2021-12-23T11:52:04Z</dcterms:modified>
</cp:coreProperties>
</file>